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uhiroInoue\Desktop\八幡浜はまぽんポロ2017年度\2017年度注文集計\2017年度注文一覧\"/>
    </mc:Choice>
  </mc:AlternateContent>
  <bookViews>
    <workbookView xWindow="240" yWindow="45" windowWidth="13995" windowHeight="10980"/>
  </bookViews>
  <sheets>
    <sheet name="注文表" sheetId="8" r:id="rId1"/>
    <sheet name="集計" sheetId="12" r:id="rId2"/>
    <sheet name="ウェアタイプ" sheetId="3" state="hidden" r:id="rId3"/>
    <sheet name="ポロカラー" sheetId="4" state="hidden" r:id="rId4"/>
    <sheet name="プリント色" sheetId="5" state="hidden" r:id="rId5"/>
    <sheet name="サイズ" sheetId="6" state="hidden" r:id="rId6"/>
    <sheet name="デザイン" sheetId="7" state="hidden" r:id="rId7"/>
  </sheets>
  <externalReferences>
    <externalReference r:id="rId8"/>
  </externalReferences>
  <definedNames>
    <definedName name="ウェア番号" localSheetId="1">[1]ウェアタイプ!$A$2:$A$4</definedName>
    <definedName name="ウェア番号">ウェアタイプ!$A$2:$A$4</definedName>
    <definedName name="サイズ" localSheetId="1">[1]サイズ!$A$2:$A$13</definedName>
    <definedName name="サイズ">サイズ!$A$2:$A$13</definedName>
    <definedName name="デザイン" localSheetId="1">[1]デザイン!$A$2:$A$5</definedName>
    <definedName name="デザイン">デザイン!$A$2:$A$5</definedName>
    <definedName name="プリント色" localSheetId="1">[1]プリント色!$A$2:$A$9</definedName>
    <definedName name="プリント色">プリント色!$A$3:$A$10</definedName>
    <definedName name="ポロカラー" localSheetId="1">[1]ポロカラー!$A$2:$A$29</definedName>
    <definedName name="ポロカラー">ポロカラー!$A$2:$A$29</definedName>
  </definedNames>
  <calcPr calcId="171027"/>
</workbook>
</file>

<file path=xl/calcChain.xml><?xml version="1.0" encoding="utf-8"?>
<calcChain xmlns="http://schemas.openxmlformats.org/spreadsheetml/2006/main">
  <c r="U21" i="8" l="1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11" i="8"/>
  <c r="U12" i="8"/>
  <c r="U13" i="8"/>
  <c r="U14" i="8"/>
  <c r="U15" i="8"/>
  <c r="U16" i="8"/>
  <c r="U17" i="8"/>
  <c r="U18" i="8"/>
  <c r="U19" i="8"/>
  <c r="U20" i="8"/>
  <c r="U10" i="8"/>
  <c r="U9" i="8"/>
  <c r="C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9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10" i="8"/>
  <c r="Q9" i="8"/>
  <c r="Q6" i="8" l="1"/>
  <c r="N10" i="8" l="1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9" i="8"/>
  <c r="P2" i="12" l="1"/>
  <c r="D10" i="8"/>
  <c r="D11" i="8"/>
  <c r="D12" i="8"/>
  <c r="M4" i="12" l="1"/>
  <c r="M3" i="12"/>
  <c r="M2" i="12"/>
  <c r="M7" i="12" l="1"/>
  <c r="K20" i="8"/>
  <c r="C25" i="8"/>
  <c r="C18" i="8"/>
  <c r="C26" i="8"/>
  <c r="C19" i="8"/>
  <c r="C29" i="8"/>
  <c r="K23" i="8"/>
  <c r="L25" i="8"/>
  <c r="L18" i="8"/>
  <c r="R18" i="8" s="1"/>
  <c r="L26" i="8"/>
  <c r="L19" i="8"/>
  <c r="R19" i="8" s="1"/>
  <c r="K25" i="8"/>
  <c r="K18" i="8"/>
  <c r="K26" i="8"/>
  <c r="K19" i="8"/>
  <c r="D25" i="8"/>
  <c r="D18" i="8"/>
  <c r="D26" i="8"/>
  <c r="D19" i="8"/>
  <c r="I25" i="8"/>
  <c r="R25" i="8" s="1"/>
  <c r="I18" i="8"/>
  <c r="I26" i="8"/>
  <c r="R26" i="8" s="1"/>
  <c r="I19" i="8"/>
  <c r="H25" i="8"/>
  <c r="H18" i="8"/>
  <c r="H26" i="8"/>
  <c r="H19" i="8"/>
  <c r="B4" i="12"/>
  <c r="B3" i="12"/>
  <c r="B2" i="12"/>
  <c r="R36" i="8"/>
  <c r="L36" i="8"/>
  <c r="K36" i="8"/>
  <c r="I36" i="8"/>
  <c r="H36" i="8"/>
  <c r="F36" i="8"/>
  <c r="D36" i="8"/>
  <c r="C36" i="8"/>
  <c r="R35" i="8"/>
  <c r="L35" i="8"/>
  <c r="K35" i="8"/>
  <c r="I35" i="8"/>
  <c r="H35" i="8"/>
  <c r="F35" i="8"/>
  <c r="D35" i="8"/>
  <c r="C35" i="8"/>
  <c r="R34" i="8"/>
  <c r="L34" i="8"/>
  <c r="K34" i="8"/>
  <c r="I34" i="8"/>
  <c r="H34" i="8"/>
  <c r="F34" i="8"/>
  <c r="D34" i="8"/>
  <c r="C34" i="8"/>
  <c r="R33" i="8"/>
  <c r="L33" i="8"/>
  <c r="K33" i="8"/>
  <c r="I33" i="8"/>
  <c r="H33" i="8"/>
  <c r="F33" i="8"/>
  <c r="D33" i="8"/>
  <c r="C33" i="8"/>
  <c r="R32" i="8"/>
  <c r="L32" i="8"/>
  <c r="K32" i="8"/>
  <c r="I32" i="8"/>
  <c r="H32" i="8"/>
  <c r="F32" i="8"/>
  <c r="D32" i="8"/>
  <c r="C32" i="8"/>
  <c r="L9" i="8"/>
  <c r="K9" i="8"/>
  <c r="I9" i="8"/>
  <c r="H9" i="8"/>
  <c r="I13" i="12" s="1"/>
  <c r="F9" i="8"/>
  <c r="D9" i="8"/>
  <c r="L21" i="8"/>
  <c r="K21" i="8"/>
  <c r="I21" i="8"/>
  <c r="H21" i="8"/>
  <c r="F21" i="8"/>
  <c r="D21" i="8"/>
  <c r="C21" i="8"/>
  <c r="L30" i="8"/>
  <c r="R30" i="8" s="1"/>
  <c r="K30" i="8"/>
  <c r="I30" i="8"/>
  <c r="H30" i="8"/>
  <c r="F30" i="8"/>
  <c r="D30" i="8"/>
  <c r="C30" i="8"/>
  <c r="R20" i="8"/>
  <c r="L20" i="8"/>
  <c r="I20" i="8"/>
  <c r="H20" i="8"/>
  <c r="F20" i="8"/>
  <c r="D20" i="8"/>
  <c r="C20" i="8"/>
  <c r="L29" i="8"/>
  <c r="K29" i="8"/>
  <c r="I29" i="8"/>
  <c r="H29" i="8"/>
  <c r="F29" i="8"/>
  <c r="D29" i="8"/>
  <c r="F19" i="8"/>
  <c r="F26" i="8"/>
  <c r="F18" i="8"/>
  <c r="F25" i="8"/>
  <c r="L24" i="8"/>
  <c r="K24" i="8"/>
  <c r="I24" i="8"/>
  <c r="H24" i="8"/>
  <c r="F24" i="8"/>
  <c r="D24" i="8"/>
  <c r="C24" i="8"/>
  <c r="L17" i="8"/>
  <c r="K17" i="8"/>
  <c r="I17" i="8"/>
  <c r="R17" i="8" s="1"/>
  <c r="H17" i="8"/>
  <c r="F17" i="8"/>
  <c r="D17" i="8"/>
  <c r="C17" i="8"/>
  <c r="L10" i="8"/>
  <c r="K10" i="8"/>
  <c r="I10" i="8"/>
  <c r="H10" i="8"/>
  <c r="F10" i="8"/>
  <c r="C10" i="8"/>
  <c r="L11" i="8"/>
  <c r="K11" i="8"/>
  <c r="I11" i="8"/>
  <c r="H11" i="8"/>
  <c r="F11" i="8"/>
  <c r="C11" i="8"/>
  <c r="L28" i="8"/>
  <c r="K28" i="8"/>
  <c r="I28" i="8"/>
  <c r="H28" i="8"/>
  <c r="F28" i="8"/>
  <c r="D28" i="8"/>
  <c r="C28" i="8"/>
  <c r="L27" i="8"/>
  <c r="K27" i="8"/>
  <c r="I27" i="8"/>
  <c r="H27" i="8"/>
  <c r="F27" i="8"/>
  <c r="D27" i="8"/>
  <c r="C27" i="8"/>
  <c r="L31" i="8"/>
  <c r="K31" i="8"/>
  <c r="I31" i="8"/>
  <c r="H31" i="8"/>
  <c r="F31" i="8"/>
  <c r="D31" i="8"/>
  <c r="C31" i="8"/>
  <c r="L16" i="8"/>
  <c r="K16" i="8"/>
  <c r="I16" i="8"/>
  <c r="H16" i="8"/>
  <c r="F16" i="8"/>
  <c r="D16" i="8"/>
  <c r="C16" i="8"/>
  <c r="L15" i="8"/>
  <c r="K15" i="8"/>
  <c r="I15" i="8"/>
  <c r="H15" i="8"/>
  <c r="F15" i="8"/>
  <c r="D15" i="8"/>
  <c r="C15" i="8"/>
  <c r="L23" i="8"/>
  <c r="I23" i="8"/>
  <c r="H23" i="8"/>
  <c r="F23" i="8"/>
  <c r="D23" i="8"/>
  <c r="C23" i="8"/>
  <c r="L22" i="8"/>
  <c r="K22" i="8"/>
  <c r="I22" i="8"/>
  <c r="H22" i="8"/>
  <c r="F22" i="8"/>
  <c r="D22" i="8"/>
  <c r="C22" i="8"/>
  <c r="L12" i="8"/>
  <c r="K12" i="8"/>
  <c r="I12" i="8"/>
  <c r="H12" i="8"/>
  <c r="F12" i="8"/>
  <c r="C12" i="8"/>
  <c r="L14" i="8"/>
  <c r="K14" i="8"/>
  <c r="I14" i="8"/>
  <c r="H14" i="8"/>
  <c r="F14" i="8"/>
  <c r="D14" i="8"/>
  <c r="C14" i="8"/>
  <c r="L13" i="8"/>
  <c r="K13" i="8"/>
  <c r="I13" i="8"/>
  <c r="H13" i="8"/>
  <c r="F13" i="8"/>
  <c r="D13" i="8"/>
  <c r="C13" i="8"/>
  <c r="R24" i="8"/>
  <c r="R11" i="8" l="1"/>
  <c r="R10" i="8"/>
  <c r="R9" i="8"/>
  <c r="R31" i="8"/>
  <c r="R28" i="8"/>
  <c r="R29" i="8"/>
  <c r="R21" i="8"/>
  <c r="R27" i="8"/>
  <c r="R22" i="8"/>
  <c r="R16" i="8"/>
  <c r="R23" i="8"/>
  <c r="R15" i="8"/>
  <c r="P9" i="12"/>
  <c r="P3" i="12"/>
  <c r="I3" i="12"/>
  <c r="E10" i="12"/>
  <c r="I7" i="12"/>
  <c r="E17" i="12"/>
  <c r="E5" i="12"/>
  <c r="E15" i="12"/>
  <c r="E24" i="12"/>
  <c r="E26" i="12"/>
  <c r="E22" i="12"/>
  <c r="E28" i="12"/>
  <c r="R12" i="8"/>
  <c r="I10" i="12"/>
  <c r="I6" i="12"/>
  <c r="P8" i="12"/>
  <c r="P10" i="12"/>
  <c r="R14" i="8"/>
  <c r="P4" i="12"/>
  <c r="P5" i="12"/>
  <c r="P6" i="12"/>
  <c r="P7" i="12"/>
  <c r="R13" i="8"/>
  <c r="I2" i="12"/>
  <c r="I12" i="12"/>
  <c r="I11" i="12"/>
  <c r="I9" i="12"/>
  <c r="I4" i="12"/>
  <c r="I5" i="12"/>
  <c r="I8" i="12"/>
  <c r="E8" i="12"/>
  <c r="E12" i="12"/>
  <c r="E16" i="12"/>
  <c r="E18" i="12"/>
  <c r="E20" i="12"/>
  <c r="E6" i="12"/>
  <c r="E3" i="12"/>
  <c r="E7" i="12"/>
  <c r="E9" i="12"/>
  <c r="E11" i="12"/>
  <c r="E13" i="12"/>
  <c r="E19" i="12"/>
  <c r="E21" i="12"/>
  <c r="E23" i="12"/>
  <c r="E25" i="12"/>
  <c r="E27" i="12"/>
  <c r="E29" i="12"/>
  <c r="E14" i="12"/>
  <c r="E2" i="12"/>
  <c r="E4" i="12"/>
  <c r="B6" i="12"/>
  <c r="P12" i="12" l="1"/>
  <c r="R6" i="8"/>
  <c r="S6" i="8" s="1"/>
  <c r="A10" i="12"/>
  <c r="I15" i="12"/>
  <c r="E31" i="12"/>
</calcChain>
</file>

<file path=xl/sharedStrings.xml><?xml version="1.0" encoding="utf-8"?>
<sst xmlns="http://schemas.openxmlformats.org/spreadsheetml/2006/main" count="185" uniqueCount="142">
  <si>
    <t>申込日</t>
    <rPh sb="0" eb="2">
      <t>モウシコミ</t>
    </rPh>
    <rPh sb="2" eb="3">
      <t>ビ</t>
    </rPh>
    <phoneticPr fontId="1"/>
  </si>
  <si>
    <t>カラー番号</t>
    <rPh sb="3" eb="5">
      <t>バンゴウ</t>
    </rPh>
    <phoneticPr fontId="1"/>
  </si>
  <si>
    <t>ホワイト</t>
    <phoneticPr fontId="1"/>
  </si>
  <si>
    <t>グレー</t>
    <phoneticPr fontId="1"/>
  </si>
  <si>
    <t>ブラック</t>
    <phoneticPr fontId="1"/>
  </si>
  <si>
    <t>レッド</t>
    <phoneticPr fontId="1"/>
  </si>
  <si>
    <t>パープル</t>
    <phoneticPr fontId="1"/>
  </si>
  <si>
    <t>オレンジ</t>
    <phoneticPr fontId="1"/>
  </si>
  <si>
    <t>グリーン</t>
    <phoneticPr fontId="1"/>
  </si>
  <si>
    <t>ミントグリーン</t>
    <phoneticPr fontId="1"/>
  </si>
  <si>
    <t>ネイビー</t>
    <phoneticPr fontId="1"/>
  </si>
  <si>
    <t>ロイヤルブルー</t>
    <phoneticPr fontId="1"/>
  </si>
  <si>
    <t>ターコイズ</t>
    <phoneticPr fontId="1"/>
  </si>
  <si>
    <t>バーガンディ</t>
    <phoneticPr fontId="1"/>
  </si>
  <si>
    <t>ホットピンク</t>
    <phoneticPr fontId="1"/>
  </si>
  <si>
    <t>ライム</t>
    <phoneticPr fontId="1"/>
  </si>
  <si>
    <t>デイジー</t>
    <phoneticPr fontId="1"/>
  </si>
  <si>
    <t>ポロカラー</t>
    <phoneticPr fontId="1"/>
  </si>
  <si>
    <t>プリント色</t>
    <rPh sb="4" eb="5">
      <t>イロ</t>
    </rPh>
    <phoneticPr fontId="1"/>
  </si>
  <si>
    <t>プリント番号</t>
    <rPh sb="4" eb="6">
      <t>バンゴウ</t>
    </rPh>
    <phoneticPr fontId="1"/>
  </si>
  <si>
    <t>追加金</t>
    <rPh sb="0" eb="2">
      <t>ツイカ</t>
    </rPh>
    <rPh sb="2" eb="3">
      <t>キン</t>
    </rPh>
    <phoneticPr fontId="1"/>
  </si>
  <si>
    <t>ウェアーカラー</t>
    <phoneticPr fontId="1"/>
  </si>
  <si>
    <t>サイズ</t>
    <phoneticPr fontId="1"/>
  </si>
  <si>
    <t>サイズ番号</t>
    <rPh sb="3" eb="5">
      <t>バンゴウ</t>
    </rPh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</si>
  <si>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</si>
  <si>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</si>
  <si>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</si>
  <si>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</si>
  <si>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</si>
  <si>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</si>
  <si>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</si>
  <si>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5L</t>
    <phoneticPr fontId="1"/>
  </si>
  <si>
    <t>ウェア番号</t>
    <rPh sb="3" eb="5">
      <t>バンゴウ</t>
    </rPh>
    <phoneticPr fontId="1"/>
  </si>
  <si>
    <t>金額</t>
    <rPh sb="0" eb="2">
      <t>キンガク</t>
    </rPh>
    <phoneticPr fontId="1"/>
  </si>
  <si>
    <t>枚数</t>
    <rPh sb="0" eb="2">
      <t>マイスウ</t>
    </rPh>
    <phoneticPr fontId="1"/>
  </si>
  <si>
    <t>お名前</t>
    <rPh sb="1" eb="3">
      <t>ナマエ</t>
    </rPh>
    <phoneticPr fontId="1"/>
  </si>
  <si>
    <t>所属部署</t>
    <rPh sb="0" eb="2">
      <t>ショゾク</t>
    </rPh>
    <rPh sb="2" eb="4">
      <t>ブショ</t>
    </rPh>
    <phoneticPr fontId="1"/>
  </si>
  <si>
    <t>お引渡</t>
    <rPh sb="1" eb="3">
      <t>ヒキワタシ</t>
    </rPh>
    <phoneticPr fontId="1"/>
  </si>
  <si>
    <t>領収</t>
    <rPh sb="0" eb="2">
      <t>リョウシュウ</t>
    </rPh>
    <phoneticPr fontId="1"/>
  </si>
  <si>
    <t>月/日</t>
    <rPh sb="0" eb="1">
      <t>ツキ</t>
    </rPh>
    <rPh sb="2" eb="3">
      <t>ヒ</t>
    </rPh>
    <phoneticPr fontId="1"/>
  </si>
  <si>
    <t>スタンダードポロシャツ</t>
    <phoneticPr fontId="1"/>
  </si>
  <si>
    <t>ドライポロシャツ</t>
    <phoneticPr fontId="1"/>
  </si>
  <si>
    <t>ドライポロシャツポケット有り</t>
    <rPh sb="12" eb="13">
      <t>アリ</t>
    </rPh>
    <phoneticPr fontId="1"/>
  </si>
  <si>
    <t>ウェアタイプ</t>
    <phoneticPr fontId="1"/>
  </si>
  <si>
    <t>品番</t>
    <rPh sb="0" eb="2">
      <t>ヒンバン</t>
    </rPh>
    <phoneticPr fontId="1"/>
  </si>
  <si>
    <t>デザイン</t>
    <phoneticPr fontId="1"/>
  </si>
  <si>
    <t>図柄</t>
    <rPh sb="0" eb="2">
      <t>ズガラ</t>
    </rPh>
    <phoneticPr fontId="1"/>
  </si>
  <si>
    <t>デザイン</t>
    <phoneticPr fontId="1"/>
  </si>
  <si>
    <t>(ウェア)  3：ドライポロシャツ(ポケット有り)</t>
    <rPh sb="22" eb="23">
      <t>ア</t>
    </rPh>
    <phoneticPr fontId="1"/>
  </si>
  <si>
    <t>(ウェア)  2：ドライポロシャツ</t>
    <phoneticPr fontId="1"/>
  </si>
  <si>
    <t>(ウェア)  1：スタンダードポロシャツ</t>
    <phoneticPr fontId="1"/>
  </si>
  <si>
    <t>記入しない</t>
    <rPh sb="0" eb="2">
      <t>キニュウ</t>
    </rPh>
    <phoneticPr fontId="1"/>
  </si>
  <si>
    <t>備考</t>
    <rPh sb="0" eb="2">
      <t>ビコウ</t>
    </rPh>
    <phoneticPr fontId="1"/>
  </si>
  <si>
    <t>基本金額</t>
    <rPh sb="0" eb="2">
      <t>キホン</t>
    </rPh>
    <rPh sb="2" eb="4">
      <t>キンガク</t>
    </rPh>
    <phoneticPr fontId="1"/>
  </si>
  <si>
    <t>大ｻｲｽﾞ追加金</t>
    <rPh sb="0" eb="1">
      <t>ダイ</t>
    </rPh>
    <rPh sb="5" eb="7">
      <t>ツイカ</t>
    </rPh>
    <phoneticPr fontId="1"/>
  </si>
  <si>
    <t>大ｻｲｽﾞ追加金</t>
    <rPh sb="0" eb="1">
      <t>ダイ</t>
    </rPh>
    <rPh sb="6" eb="7">
      <t>キン</t>
    </rPh>
    <phoneticPr fontId="1"/>
  </si>
  <si>
    <t>※弊社記入欄</t>
    <rPh sb="1" eb="3">
      <t>ヘイシャ</t>
    </rPh>
    <rPh sb="3" eb="5">
      <t>キニュウ</t>
    </rPh>
    <rPh sb="5" eb="6">
      <t>ラン</t>
    </rPh>
    <phoneticPr fontId="1"/>
  </si>
  <si>
    <t>JS(1のみ)</t>
    <phoneticPr fontId="1"/>
  </si>
  <si>
    <t>JM(1のみ)</t>
    <phoneticPr fontId="1"/>
  </si>
  <si>
    <t>JL(1のみ)</t>
    <phoneticPr fontId="1"/>
  </si>
  <si>
    <t>ピンク(2,3のみ)</t>
    <phoneticPr fontId="1"/>
  </si>
  <si>
    <t>ライトピンク(2,3のみ)</t>
    <phoneticPr fontId="1"/>
  </si>
  <si>
    <t>ライトブルー(2,3のみ)</t>
    <phoneticPr fontId="1"/>
  </si>
  <si>
    <t>ライトイエロー(2,3のみ)</t>
    <phoneticPr fontId="1"/>
  </si>
  <si>
    <t>イエロー(1のみ)</t>
    <phoneticPr fontId="1"/>
  </si>
  <si>
    <t>スカイブルー(1のみ)</t>
    <phoneticPr fontId="1"/>
  </si>
  <si>
    <t>インディゴ(1のみ)</t>
    <phoneticPr fontId="1"/>
  </si>
  <si>
    <t>フォレスト(1のみ)</t>
    <phoneticPr fontId="1"/>
  </si>
  <si>
    <t>チョコレート(1のみ)</t>
    <phoneticPr fontId="1"/>
  </si>
  <si>
    <t>ブライトレッド(1のみ)</t>
    <phoneticPr fontId="1"/>
  </si>
  <si>
    <t>コーラルピンク(1のみ)</t>
    <phoneticPr fontId="1"/>
  </si>
  <si>
    <t>ピーチ(1のみ)</t>
    <phoneticPr fontId="1"/>
  </si>
  <si>
    <t>ブライトグリーン(1のみ)</t>
    <phoneticPr fontId="1"/>
  </si>
  <si>
    <t>※注文者全員が同一所属部署(課など)の場合のみ、右の枠に入すれば、自動入力します。</t>
    <rPh sb="1" eb="3">
      <t>チュウモン</t>
    </rPh>
    <rPh sb="3" eb="4">
      <t>シャ</t>
    </rPh>
    <rPh sb="4" eb="6">
      <t>ゼンイン</t>
    </rPh>
    <rPh sb="7" eb="9">
      <t>ドウイツ</t>
    </rPh>
    <rPh sb="9" eb="11">
      <t>ショゾク</t>
    </rPh>
    <rPh sb="11" eb="13">
      <t>ブショ</t>
    </rPh>
    <rPh sb="14" eb="15">
      <t>カ</t>
    </rPh>
    <rPh sb="19" eb="21">
      <t>バアイ</t>
    </rPh>
    <rPh sb="24" eb="25">
      <t>ミギ</t>
    </rPh>
    <rPh sb="26" eb="27">
      <t>ワク</t>
    </rPh>
    <rPh sb="28" eb="29">
      <t>ニュウ</t>
    </rPh>
    <rPh sb="33" eb="35">
      <t>ジドウ</t>
    </rPh>
    <rPh sb="35" eb="37">
      <t>ニュウリョク</t>
    </rPh>
    <phoneticPr fontId="1"/>
  </si>
  <si>
    <t>部署自動入力</t>
    <rPh sb="0" eb="2">
      <t>ブショ</t>
    </rPh>
    <rPh sb="2" eb="4">
      <t>ジドウ</t>
    </rPh>
    <rPh sb="4" eb="6">
      <t>ニュウリョク</t>
    </rPh>
    <phoneticPr fontId="1"/>
  </si>
  <si>
    <t>選択</t>
    <rPh sb="0" eb="2">
      <t>センタク</t>
    </rPh>
    <phoneticPr fontId="1"/>
  </si>
  <si>
    <t>全角入力</t>
    <rPh sb="0" eb="2">
      <t>ゼンカク</t>
    </rPh>
    <rPh sb="2" eb="4">
      <t>ニュウリョク</t>
    </rPh>
    <phoneticPr fontId="1"/>
  </si>
  <si>
    <t>背追加金</t>
    <rPh sb="0" eb="1">
      <t>セ</t>
    </rPh>
    <rPh sb="1" eb="3">
      <t>ツイカ</t>
    </rPh>
    <rPh sb="3" eb="4">
      <t>キン</t>
    </rPh>
    <phoneticPr fontId="1"/>
  </si>
  <si>
    <t>SS</t>
  </si>
  <si>
    <t>LL</t>
  </si>
  <si>
    <t>L</t>
  </si>
  <si>
    <t>M</t>
  </si>
  <si>
    <t>合計</t>
    <rPh sb="0" eb="2">
      <t>ゴウケイ</t>
    </rPh>
    <phoneticPr fontId="1"/>
  </si>
  <si>
    <t>ライトイエロー(2,3のみ)</t>
    <phoneticPr fontId="1"/>
  </si>
  <si>
    <t>ピーチ(1のみ)</t>
    <phoneticPr fontId="1"/>
  </si>
  <si>
    <t>コーラルピンク(1のみ)</t>
    <phoneticPr fontId="1"/>
  </si>
  <si>
    <t>イエロー(1のみ)</t>
    <phoneticPr fontId="1"/>
  </si>
  <si>
    <t>5L</t>
  </si>
  <si>
    <t>4L</t>
  </si>
  <si>
    <t>3L</t>
  </si>
  <si>
    <t>ロイヤルブルー</t>
    <phoneticPr fontId="1"/>
  </si>
  <si>
    <t>合計金額</t>
    <rPh sb="0" eb="2">
      <t>ゴウケイ</t>
    </rPh>
    <rPh sb="2" eb="4">
      <t>キンガク</t>
    </rPh>
    <phoneticPr fontId="1"/>
  </si>
  <si>
    <t>S</t>
  </si>
  <si>
    <t>オレンジ</t>
    <phoneticPr fontId="1"/>
  </si>
  <si>
    <t>JL(1のみ)</t>
  </si>
  <si>
    <t>JM(1のみ)</t>
  </si>
  <si>
    <t>ブラック</t>
    <phoneticPr fontId="1"/>
  </si>
  <si>
    <t>ドライポロシャツ(ﾎﾟｹ付)</t>
    <rPh sb="12" eb="13">
      <t>ツ</t>
    </rPh>
    <phoneticPr fontId="1"/>
  </si>
  <si>
    <t>JS(1のみ)</t>
  </si>
  <si>
    <t>グレー</t>
    <phoneticPr fontId="1"/>
  </si>
  <si>
    <t>150(2,3のみ)</t>
  </si>
  <si>
    <t>スタンダードポロシャツ</t>
    <phoneticPr fontId="1"/>
  </si>
  <si>
    <t>デザイン・図柄</t>
    <rPh sb="5" eb="7">
      <t>ズガラ</t>
    </rPh>
    <phoneticPr fontId="1"/>
  </si>
  <si>
    <t>サイズ</t>
  </si>
  <si>
    <t>ウェア色</t>
    <rPh sb="3" eb="4">
      <t>イロ</t>
    </rPh>
    <phoneticPr fontId="1"/>
  </si>
  <si>
    <t>ウェアタイプ</t>
    <phoneticPr fontId="1"/>
  </si>
  <si>
    <t>A</t>
    <phoneticPr fontId="1"/>
  </si>
  <si>
    <t>B</t>
    <phoneticPr fontId="1"/>
  </si>
  <si>
    <t>C</t>
    <phoneticPr fontId="1"/>
  </si>
  <si>
    <t>150(2のみ)</t>
    <phoneticPr fontId="1"/>
  </si>
  <si>
    <t xml:space="preserve"> (価格　デザインA)　1着：1,500円（※サイズ 3L、4L､5Lは、1,800円）
 (価格　デザインB)　1着：2,000円（※サイズ 3L、4L､5Lは、2,300円）
 (価格　デザインC)　1着：2,500円（※サイズ 3L、4L､5Lは、2,800円）</t>
    <phoneticPr fontId="1"/>
  </si>
  <si>
    <t>どんぶりのみ（背単色）</t>
    <rPh sb="7" eb="8">
      <t>セ</t>
    </rPh>
    <rPh sb="8" eb="10">
      <t>タンショク</t>
    </rPh>
    <phoneticPr fontId="1"/>
  </si>
  <si>
    <t>どんぶりちゃんぽん(背単色)</t>
    <rPh sb="10" eb="11">
      <t>セ</t>
    </rPh>
    <rPh sb="11" eb="13">
      <t>タンショク</t>
    </rPh>
    <phoneticPr fontId="1"/>
  </si>
  <si>
    <t>はまぽんキャラ(背カラー)</t>
    <rPh sb="8" eb="9">
      <t>セ</t>
    </rPh>
    <phoneticPr fontId="1"/>
  </si>
  <si>
    <t>背プリントカラー</t>
    <rPh sb="0" eb="1">
      <t>セ</t>
    </rPh>
    <phoneticPr fontId="1"/>
  </si>
  <si>
    <t>（A）どんぶりのみ（背単色）</t>
    <rPh sb="10" eb="11">
      <t>セ</t>
    </rPh>
    <rPh sb="11" eb="13">
      <t>タンショク</t>
    </rPh>
    <phoneticPr fontId="1"/>
  </si>
  <si>
    <t>（B）どんぶりちゃんぽん(背単色)</t>
    <rPh sb="13" eb="14">
      <t>セ</t>
    </rPh>
    <rPh sb="14" eb="16">
      <t>タンショク</t>
    </rPh>
    <phoneticPr fontId="1"/>
  </si>
  <si>
    <t>（C）はまぽんキャラ(背カラー)</t>
    <phoneticPr fontId="1"/>
  </si>
  <si>
    <t>合計金額</t>
    <rPh sb="0" eb="2">
      <t>ゴウケイ</t>
    </rPh>
    <rPh sb="2" eb="4">
      <t>キンガク</t>
    </rPh>
    <phoneticPr fontId="11"/>
  </si>
  <si>
    <t>合計数</t>
    <rPh sb="0" eb="2">
      <t>ゴウケイ</t>
    </rPh>
    <rPh sb="2" eb="3">
      <t>スウ</t>
    </rPh>
    <phoneticPr fontId="11"/>
  </si>
  <si>
    <t>フルカラー(C)</t>
    <phoneticPr fontId="11"/>
  </si>
  <si>
    <r>
      <t>ホワイト(</t>
    </r>
    <r>
      <rPr>
        <sz val="11"/>
        <color theme="1"/>
        <rFont val="ＭＳ Ｐゴシック"/>
        <family val="3"/>
        <charset val="128"/>
        <scheme val="minor"/>
      </rPr>
      <t>A,B</t>
    </r>
    <r>
      <rPr>
        <sz val="11"/>
        <color theme="1"/>
        <rFont val="ＭＳ Ｐゴシック"/>
        <family val="3"/>
        <charset val="128"/>
        <scheme val="minor"/>
      </rPr>
      <t>)</t>
    </r>
    <phoneticPr fontId="11"/>
  </si>
  <si>
    <t>ブラック(A,B)</t>
    <phoneticPr fontId="11"/>
  </si>
  <si>
    <t>レッド(A,B)</t>
    <phoneticPr fontId="11"/>
  </si>
  <si>
    <t>イエロー(A,B)</t>
    <phoneticPr fontId="11"/>
  </si>
  <si>
    <t>ロイヤルブルー(A,B)</t>
    <phoneticPr fontId="11"/>
  </si>
  <si>
    <t>ピンク(A,B)</t>
    <phoneticPr fontId="11"/>
  </si>
  <si>
    <t>シルバー(A,B)</t>
    <phoneticPr fontId="11"/>
  </si>
  <si>
    <t>ゴールド(A,B)</t>
    <phoneticPr fontId="11"/>
  </si>
  <si>
    <t>1枚ずつ</t>
    <rPh sb="1" eb="2">
      <t>マイ</t>
    </rPh>
    <phoneticPr fontId="1"/>
  </si>
  <si>
    <t>八幡浜はまぽんポロシャツ2017(注文表)</t>
    <rPh sb="0" eb="3">
      <t>ヤワタハマ</t>
    </rPh>
    <rPh sb="17" eb="19">
      <t>チュウモン</t>
    </rPh>
    <rPh sb="19" eb="20">
      <t>ヒョウ</t>
    </rPh>
    <phoneticPr fontId="1"/>
  </si>
  <si>
    <t xml:space="preserve"> C (フルカラー)</t>
    <phoneticPr fontId="1"/>
  </si>
  <si>
    <t>A,B(ホワイト)</t>
    <phoneticPr fontId="1"/>
  </si>
  <si>
    <t>A,B(ブラック)</t>
    <phoneticPr fontId="1"/>
  </si>
  <si>
    <t>A,B(レッド)</t>
    <phoneticPr fontId="1"/>
  </si>
  <si>
    <t>A,B(イエロー)</t>
    <phoneticPr fontId="1"/>
  </si>
  <si>
    <t>A,B(ロイヤルブルー)</t>
    <phoneticPr fontId="1"/>
  </si>
  <si>
    <t>A,B(ピンク)</t>
    <phoneticPr fontId="1"/>
  </si>
  <si>
    <t>A,B(シルバー)</t>
    <phoneticPr fontId="1"/>
  </si>
  <si>
    <t>A,B(ゴールド)</t>
    <phoneticPr fontId="1"/>
  </si>
  <si>
    <t xml:space="preserve"> ・「ゴールド」「シルバー」の場合、デザインAは100円、デザインBは200円の追加料金が必要です。</t>
    <rPh sb="15" eb="17">
      <t>バアイ</t>
    </rPh>
    <rPh sb="38" eb="39">
      <t>エン</t>
    </rPh>
    <phoneticPr fontId="1"/>
  </si>
  <si>
    <t xml:space="preserve"> (背プリントカラー)　デザインCは「C(フルカラー)」を選択、デザインA、Bは「A,B(各8色)」の中から選択してください。</t>
    <rPh sb="2" eb="3">
      <t>セ</t>
    </rPh>
    <rPh sb="29" eb="31">
      <t>センタク</t>
    </rPh>
    <rPh sb="45" eb="46">
      <t>カク</t>
    </rPh>
    <rPh sb="47" eb="48">
      <t>イロ</t>
    </rPh>
    <rPh sb="51" eb="52">
      <t>ナカ</t>
    </rPh>
    <rPh sb="54" eb="5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</si>
</sst>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m&quot;月&quot;d&quot;日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8"/>
      <color theme="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5" fillId="4" borderId="3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8" fillId="0" borderId="2" xfId="0" applyFont="1" applyBorder="1" applyProtection="1">
      <alignment vertical="center"/>
      <protection locked="0"/>
    </xf>
    <xf numFmtId="176" fontId="8" fillId="0" borderId="1" xfId="0" applyNumberFormat="1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2" fillId="0" borderId="0" xfId="0" applyFont="1" applyFill="1" applyAlignment="1" applyProtection="1">
      <alignment vertical="center"/>
    </xf>
    <xf numFmtId="0" fontId="5" fillId="4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2" borderId="6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2" fillId="0" borderId="0" xfId="1" applyFont="1">
      <alignment vertical="center"/>
    </xf>
    <xf numFmtId="0" fontId="12" fillId="0" borderId="7" xfId="1" applyFont="1" applyBorder="1">
      <alignment vertical="center"/>
    </xf>
    <xf numFmtId="0" fontId="12" fillId="0" borderId="8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11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4" xfId="1" applyFont="1" applyBorder="1">
      <alignment vertical="center"/>
    </xf>
    <xf numFmtId="6" fontId="12" fillId="0" borderId="15" xfId="1" applyNumberFormat="1" applyFont="1" applyBorder="1">
      <alignment vertical="center"/>
    </xf>
    <xf numFmtId="0" fontId="12" fillId="0" borderId="16" xfId="1" applyFont="1" applyBorder="1">
      <alignment vertical="center"/>
    </xf>
    <xf numFmtId="0" fontId="13" fillId="0" borderId="9" xfId="1" applyFont="1" applyBorder="1">
      <alignment vertical="center"/>
    </xf>
    <xf numFmtId="0" fontId="13" fillId="0" borderId="11" xfId="1" applyFont="1" applyBorder="1">
      <alignment vertical="center"/>
    </xf>
    <xf numFmtId="0" fontId="12" fillId="0" borderId="17" xfId="1" applyFont="1" applyBorder="1">
      <alignment vertical="center"/>
    </xf>
    <xf numFmtId="0" fontId="12" fillId="0" borderId="18" xfId="1" applyFont="1" applyBorder="1">
      <alignment vertical="center"/>
    </xf>
    <xf numFmtId="0" fontId="13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20" xfId="1" applyFont="1" applyBorder="1">
      <alignment vertical="center"/>
    </xf>
    <xf numFmtId="0" fontId="0" fillId="0" borderId="18" xfId="1" applyFont="1" applyBorder="1">
      <alignment vertical="center"/>
    </xf>
    <xf numFmtId="0" fontId="0" fillId="0" borderId="12" xfId="1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57" fontId="8" fillId="0" borderId="1" xfId="0" applyNumberFormat="1" applyFont="1" applyBorder="1" applyProtection="1">
      <alignment vertical="center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0" fillId="0" borderId="22" xfId="1" applyFont="1" applyBorder="1">
      <alignment vertical="center"/>
    </xf>
    <xf numFmtId="0" fontId="12" fillId="0" borderId="23" xfId="1" applyFont="1" applyBorder="1">
      <alignment vertical="center"/>
    </xf>
    <xf numFmtId="0" fontId="0" fillId="0" borderId="21" xfId="1" applyFont="1" applyBorder="1">
      <alignment vertical="center"/>
    </xf>
    <xf numFmtId="0" fontId="12" fillId="0" borderId="21" xfId="1" applyFont="1" applyBorder="1">
      <alignment vertical="center"/>
    </xf>
    <xf numFmtId="0" fontId="8" fillId="0" borderId="30" xfId="0" applyFont="1" applyBorder="1" applyProtection="1">
      <alignment vertical="center"/>
      <protection locked="0"/>
    </xf>
    <xf numFmtId="0" fontId="8" fillId="0" borderId="1" xfId="0" applyFont="1" applyFill="1" applyBorder="1">
      <alignment vertical="center"/>
    </xf>
    <xf numFmtId="0" fontId="0" fillId="0" borderId="2" xfId="0" applyFill="1" applyBorder="1" applyProtection="1">
      <alignment vertical="center"/>
      <protection locked="0"/>
    </xf>
    <xf numFmtId="0" fontId="4" fillId="0" borderId="0" xfId="0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6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31" xfId="1" applyFont="1" applyBorder="1">
      <alignment vertical="center"/>
    </xf>
    <xf numFmtId="0" fontId="0" fillId="0" borderId="10" xfId="1" applyFont="1" applyBorder="1">
      <alignment vertical="center"/>
    </xf>
    <xf numFmtId="0" fontId="14" fillId="6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3" fillId="7" borderId="24" xfId="0" applyFont="1" applyFill="1" applyBorder="1" applyAlignment="1" applyProtection="1">
      <alignment vertical="center" wrapText="1"/>
    </xf>
    <xf numFmtId="0" fontId="3" fillId="7" borderId="25" xfId="0" applyFont="1" applyFill="1" applyBorder="1" applyAlignment="1" applyProtection="1">
      <alignment vertical="center"/>
    </xf>
    <xf numFmtId="0" fontId="3" fillId="7" borderId="26" xfId="0" applyFont="1" applyFill="1" applyBorder="1" applyAlignment="1" applyProtection="1">
      <alignment vertical="center"/>
    </xf>
    <xf numFmtId="0" fontId="3" fillId="7" borderId="27" xfId="0" applyFont="1" applyFill="1" applyBorder="1" applyAlignment="1" applyProtection="1">
      <alignment vertical="center" wrapText="1"/>
    </xf>
    <xf numFmtId="0" fontId="3" fillId="7" borderId="28" xfId="0" applyFont="1" applyFill="1" applyBorder="1" applyAlignment="1" applyProtection="1">
      <alignment vertical="center"/>
    </xf>
    <xf numFmtId="0" fontId="3" fillId="7" borderId="29" xfId="0" applyFont="1" applyFill="1" applyBorder="1" applyAlignment="1" applyProtection="1">
      <alignment vertical="center"/>
    </xf>
    <xf numFmtId="0" fontId="5" fillId="4" borderId="3" xfId="0" applyFont="1" applyFill="1" applyBorder="1" applyProtection="1">
      <alignment vertical="center"/>
    </xf>
    <xf numFmtId="0" fontId="4" fillId="5" borderId="32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9" fillId="5" borderId="2" xfId="0" applyFont="1" applyFill="1" applyBorder="1" applyProtection="1">
      <alignment vertical="center"/>
    </xf>
    <xf numFmtId="0" fontId="8" fillId="0" borderId="37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3" fillId="8" borderId="2" xfId="0" applyFont="1" applyFill="1" applyBorder="1" applyProtection="1">
      <alignment vertical="center"/>
    </xf>
    <xf numFmtId="0" fontId="3" fillId="3" borderId="1" xfId="0" applyFont="1" applyFill="1" applyBorder="1">
      <alignment vertical="center"/>
    </xf>
    <xf numFmtId="0" fontId="3" fillId="8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FFFFCC"/>
      <color rgb="FF99FFCC"/>
      <color rgb="FFFFCC99"/>
      <color rgb="FFCCCC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809625</xdr:colOff>
      <xdr:row>5</xdr:row>
      <xdr:rowOff>104775</xdr:rowOff>
    </xdr:from>
    <xdr:to>
      <xdr:col>12</xdr:col>
      <xdr:colOff>809625</xdr:colOff>
      <xdr:row>6</xdr:row>
      <xdr:rowOff>152400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552950" y="1047750"/>
          <a:ext cx="0" cy="228600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c&#12496;&#12483;&#12463;&#12450;&#12483;&#12503;\DELL_PC_Win7\&#20843;&#24161;&#27996;&#12463;&#12540;&#12523;&#12499;&#12474;\&#12463;&#12540;&#12523;&#12499;&#12474;&#38598;&#35336;\&#21463;&#27880;&#27508;(&#24066;&#24441;&#25152;)\01_2014_05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文表"/>
      <sheetName val="2014_0507"/>
      <sheetName val="ウェアタイプ"/>
      <sheetName val="ポロカラー"/>
      <sheetName val="プリント色"/>
      <sheetName val="サイズ"/>
      <sheetName val="デザイン"/>
      <sheetName val="ウェアカラー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</sheetData>
      <sheetData sheetId="3">
        <row r="2">
          <cell r="A2" t="str">
            <v>ホワイト</v>
          </cell>
        </row>
        <row r="3">
          <cell r="A3" t="str">
            <v>グレー</v>
          </cell>
        </row>
        <row r="4">
          <cell r="A4" t="str">
            <v>ブラック</v>
          </cell>
        </row>
        <row r="5">
          <cell r="A5" t="str">
            <v>レッド</v>
          </cell>
        </row>
        <row r="6">
          <cell r="A6" t="str">
            <v>パープル</v>
          </cell>
        </row>
        <row r="7">
          <cell r="A7" t="str">
            <v>オレンジ</v>
          </cell>
        </row>
        <row r="8">
          <cell r="A8" t="str">
            <v>グリーン</v>
          </cell>
        </row>
        <row r="9">
          <cell r="A9" t="str">
            <v>ミントグリーン</v>
          </cell>
        </row>
        <row r="10">
          <cell r="A10" t="str">
            <v>ネイビー</v>
          </cell>
        </row>
        <row r="11">
          <cell r="A11" t="str">
            <v>ロイヤルブルー</v>
          </cell>
        </row>
        <row r="12">
          <cell r="A12" t="str">
            <v>ターコイズ</v>
          </cell>
        </row>
        <row r="13">
          <cell r="A13" t="str">
            <v>バーガンディ</v>
          </cell>
        </row>
        <row r="14">
          <cell r="A14" t="str">
            <v>ホットピンク</v>
          </cell>
        </row>
        <row r="15">
          <cell r="A15" t="str">
            <v>ライム</v>
          </cell>
        </row>
        <row r="16">
          <cell r="A16" t="str">
            <v>デイジー</v>
          </cell>
        </row>
        <row r="17">
          <cell r="A17" t="str">
            <v>イエロー(1のみ)</v>
          </cell>
        </row>
        <row r="18">
          <cell r="A18" t="str">
            <v>スカイブルー(1のみ)</v>
          </cell>
        </row>
        <row r="19">
          <cell r="A19" t="str">
            <v>インディゴ(1のみ)</v>
          </cell>
        </row>
        <row r="20">
          <cell r="A20" t="str">
            <v>フォレスト(1のみ)</v>
          </cell>
        </row>
        <row r="21">
          <cell r="A21" t="str">
            <v>チョコレート(1のみ)</v>
          </cell>
        </row>
        <row r="22">
          <cell r="A22" t="str">
            <v>ブライトレッド(1のみ)</v>
          </cell>
        </row>
        <row r="23">
          <cell r="A23" t="str">
            <v>コーラルピンク(1のみ)</v>
          </cell>
        </row>
        <row r="24">
          <cell r="A24" t="str">
            <v>ピーチ(1のみ)</v>
          </cell>
        </row>
        <row r="25">
          <cell r="A25" t="str">
            <v>ブライトグリーン(1のみ)</v>
          </cell>
        </row>
        <row r="26">
          <cell r="A26" t="str">
            <v>ピンク(2,3のみ)</v>
          </cell>
        </row>
        <row r="27">
          <cell r="A27" t="str">
            <v>ライトピンク(2,3のみ)</v>
          </cell>
        </row>
        <row r="28">
          <cell r="A28" t="str">
            <v>ライトブルー(2,3のみ)</v>
          </cell>
        </row>
        <row r="29">
          <cell r="A29" t="str">
            <v>ライトイエロー(2,3のみ)</v>
          </cell>
        </row>
      </sheetData>
      <sheetData sheetId="4">
        <row r="2">
          <cell r="A2" t="str">
            <v>ホワイト</v>
          </cell>
        </row>
        <row r="3">
          <cell r="A3" t="str">
            <v>ブラック</v>
          </cell>
        </row>
        <row r="4">
          <cell r="A4" t="str">
            <v>レッド</v>
          </cell>
        </row>
        <row r="5">
          <cell r="A5" t="str">
            <v>イエロー</v>
          </cell>
        </row>
        <row r="6">
          <cell r="A6" t="str">
            <v>ロイヤルブルー</v>
          </cell>
        </row>
        <row r="7">
          <cell r="A7" t="str">
            <v>ピンク</v>
          </cell>
        </row>
        <row r="8">
          <cell r="A8" t="str">
            <v>シルバー</v>
          </cell>
        </row>
        <row r="9">
          <cell r="A9" t="str">
            <v>ゴールド</v>
          </cell>
        </row>
      </sheetData>
      <sheetData sheetId="5">
        <row r="2">
          <cell r="A2" t="str">
            <v>150(2,3のみ)</v>
          </cell>
        </row>
        <row r="3">
          <cell r="A3" t="str">
            <v>JS(1のみ)</v>
          </cell>
        </row>
        <row r="4">
          <cell r="A4" t="str">
            <v>JM(1のみ)</v>
          </cell>
        </row>
        <row r="5">
          <cell r="A5" t="str">
            <v>JL(1のみ)</v>
          </cell>
        </row>
        <row r="6">
          <cell r="A6" t="str">
            <v>SS</v>
          </cell>
        </row>
        <row r="7">
          <cell r="A7" t="str">
            <v>S</v>
          </cell>
        </row>
        <row r="8">
          <cell r="A8" t="str">
            <v>M</v>
          </cell>
        </row>
        <row r="9">
          <cell r="A9" t="str">
            <v>L</v>
          </cell>
        </row>
        <row r="10">
          <cell r="A10" t="str">
            <v>LL</v>
          </cell>
        </row>
        <row r="11">
          <cell r="A11" t="str">
            <v>3L</v>
          </cell>
        </row>
        <row r="12">
          <cell r="A12" t="str">
            <v>4L</v>
          </cell>
        </row>
        <row r="13">
          <cell r="A13" t="str">
            <v>5L</v>
          </cell>
        </row>
      </sheetData>
      <sheetData sheetId="6">
        <row r="2">
          <cell r="A2" t="str">
            <v>A</v>
          </cell>
        </row>
        <row r="3">
          <cell r="A3" t="str">
            <v>B</v>
          </cell>
        </row>
        <row r="4">
          <cell r="A4" t="str">
            <v>C</v>
          </cell>
        </row>
        <row r="5">
          <cell r="A5" t="str">
            <v>D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topLeftCell="A4" workbookViewId="0">
      <selection activeCell="A9" sqref="A9"/>
    </sheetView>
  </sheetViews>
  <sheetFormatPr defaultRowHeight="13.5" x14ac:dyDescent="0.15"/>
  <cols>
    <col min="1" max="1" width="6.75" customWidth="1"/>
    <col min="2" max="2" width="7" customWidth="1"/>
    <col min="3" max="3" width="18.25" customWidth="1"/>
    <col min="4" max="4" width="4.875" hidden="1" customWidth="1"/>
    <col min="5" max="5" width="16.625" customWidth="1"/>
    <col min="6" max="6" width="6.75" hidden="1" customWidth="1"/>
    <col min="7" max="7" width="9.75" customWidth="1"/>
    <col min="8" max="8" width="7.75" hidden="1" customWidth="1"/>
    <col min="9" max="9" width="9.25" hidden="1" customWidth="1"/>
    <col min="10" max="10" width="5.75" customWidth="1"/>
    <col min="11" max="11" width="19.375" hidden="1" customWidth="1"/>
    <col min="12" max="12" width="7.125" hidden="1" customWidth="1"/>
    <col min="13" max="13" width="16" customWidth="1"/>
    <col min="14" max="14" width="7.5" hidden="1" customWidth="1"/>
    <col min="15" max="15" width="5" hidden="1" customWidth="1"/>
    <col min="16" max="16" width="4.375" hidden="1" customWidth="1"/>
    <col min="17" max="17" width="4.75" customWidth="1"/>
    <col min="18" max="18" width="8.25" customWidth="1"/>
    <col min="19" max="19" width="9" customWidth="1"/>
    <col min="20" max="20" width="10.25" customWidth="1"/>
    <col min="21" max="21" width="10.75" customWidth="1"/>
    <col min="22" max="22" width="4.375" customWidth="1"/>
    <col min="23" max="23" width="4" customWidth="1"/>
    <col min="24" max="24" width="11.5" customWidth="1"/>
  </cols>
  <sheetData>
    <row r="1" spans="1:24" ht="33" customHeight="1" x14ac:dyDescent="0.15">
      <c r="A1" s="69" t="s">
        <v>130</v>
      </c>
      <c r="B1" s="60"/>
      <c r="C1" s="60"/>
      <c r="D1" s="60"/>
      <c r="E1" s="60"/>
      <c r="F1" s="60"/>
      <c r="G1" s="60"/>
      <c r="H1" s="60"/>
      <c r="I1" s="60"/>
      <c r="J1" s="60"/>
      <c r="K1" s="16"/>
      <c r="L1" s="16"/>
      <c r="M1" s="16"/>
      <c r="N1" s="16"/>
      <c r="O1" s="16"/>
      <c r="P1" s="22"/>
      <c r="Q1" s="63" t="s">
        <v>110</v>
      </c>
      <c r="R1" s="63"/>
      <c r="S1" s="63"/>
      <c r="T1" s="63"/>
      <c r="U1" s="63"/>
      <c r="V1" s="63"/>
      <c r="W1" s="64"/>
      <c r="X1" s="64"/>
    </row>
    <row r="2" spans="1:24" ht="13.5" customHeight="1" x14ac:dyDescent="0.15">
      <c r="A2" s="61" t="s">
        <v>50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26"/>
      <c r="O2" s="26"/>
      <c r="P2" s="23"/>
      <c r="Q2" s="63"/>
      <c r="R2" s="63"/>
      <c r="S2" s="63"/>
      <c r="T2" s="63"/>
      <c r="U2" s="63"/>
      <c r="V2" s="63"/>
      <c r="W2" s="64"/>
      <c r="X2" s="64"/>
    </row>
    <row r="3" spans="1:24" ht="14.25" thickBot="1" x14ac:dyDescent="0.2">
      <c r="A3" s="61" t="s">
        <v>49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"/>
      <c r="O3" s="26"/>
      <c r="P3" s="23"/>
      <c r="Q3" s="63"/>
      <c r="R3" s="63"/>
      <c r="S3" s="63"/>
      <c r="T3" s="63"/>
      <c r="U3" s="63"/>
      <c r="V3" s="63"/>
      <c r="W3" s="64"/>
      <c r="X3" s="64"/>
    </row>
    <row r="4" spans="1:24" x14ac:dyDescent="0.15">
      <c r="A4" s="61" t="s">
        <v>48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26"/>
      <c r="O4" s="26"/>
      <c r="P4" s="26"/>
      <c r="Q4" s="25"/>
      <c r="S4" s="78" t="s">
        <v>73</v>
      </c>
      <c r="T4" s="79"/>
      <c r="U4" s="80"/>
      <c r="V4" s="85"/>
      <c r="W4" s="86"/>
      <c r="X4" s="87"/>
    </row>
    <row r="5" spans="1:24" ht="14.25" thickBot="1" x14ac:dyDescent="0.2">
      <c r="A5" s="71" t="s">
        <v>141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  <c r="N5" s="26"/>
      <c r="O5" s="26"/>
      <c r="P5" s="26"/>
      <c r="Q5" s="65" t="s">
        <v>119</v>
      </c>
      <c r="R5" s="66" t="s">
        <v>118</v>
      </c>
      <c r="S5" s="81"/>
      <c r="T5" s="82"/>
      <c r="U5" s="83"/>
      <c r="V5" s="88"/>
      <c r="W5" s="89"/>
      <c r="X5" s="90"/>
    </row>
    <row r="6" spans="1:24" ht="14.25" customHeight="1" x14ac:dyDescent="0.15">
      <c r="A6" s="74" t="s">
        <v>140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6"/>
      <c r="N6" s="26"/>
      <c r="O6" s="26"/>
      <c r="P6" s="26"/>
      <c r="Q6" s="93" t="str">
        <f>IF(Q9="","",(SUM(Q9:Q36)))</f>
        <v/>
      </c>
      <c r="R6" s="94" t="str">
        <f>IF(R9="","",(SUM(R9:R36)))</f>
        <v/>
      </c>
      <c r="S6" s="57" t="str">
        <f>IF(R6=1,"ご注文確認致しました","※　着色部分は入力しないでください。")</f>
        <v>※　着色部分は入力しないでください。</v>
      </c>
      <c r="T6" s="57"/>
      <c r="U6" s="57"/>
      <c r="V6" s="57"/>
      <c r="W6" s="57"/>
      <c r="X6" s="26"/>
    </row>
    <row r="7" spans="1:24" x14ac:dyDescent="0.15">
      <c r="A7" s="18" t="s">
        <v>39</v>
      </c>
      <c r="B7" s="18" t="s">
        <v>75</v>
      </c>
      <c r="C7" s="18"/>
      <c r="D7" s="18"/>
      <c r="E7" s="18" t="s">
        <v>75</v>
      </c>
      <c r="F7" s="18"/>
      <c r="G7" s="19" t="s">
        <v>75</v>
      </c>
      <c r="H7" s="18"/>
      <c r="I7" s="18"/>
      <c r="J7" s="19" t="s">
        <v>75</v>
      </c>
      <c r="K7" s="18"/>
      <c r="L7" s="18"/>
      <c r="M7" s="19" t="s">
        <v>75</v>
      </c>
      <c r="N7" s="18"/>
      <c r="O7" s="18"/>
      <c r="P7" s="18"/>
      <c r="Q7" s="70" t="s">
        <v>129</v>
      </c>
      <c r="R7" s="20" t="s">
        <v>51</v>
      </c>
      <c r="S7" s="19" t="s">
        <v>76</v>
      </c>
      <c r="T7" s="19" t="s">
        <v>76</v>
      </c>
      <c r="U7" s="8"/>
      <c r="V7" s="58" t="s">
        <v>56</v>
      </c>
      <c r="W7" s="59"/>
      <c r="X7" s="59"/>
    </row>
    <row r="8" spans="1:24" ht="14.25" thickBot="1" x14ac:dyDescent="0.2">
      <c r="A8" s="9" t="s">
        <v>0</v>
      </c>
      <c r="B8" s="11" t="s">
        <v>32</v>
      </c>
      <c r="C8" s="9" t="s">
        <v>43</v>
      </c>
      <c r="D8" s="11" t="s">
        <v>44</v>
      </c>
      <c r="E8" s="9" t="s">
        <v>21</v>
      </c>
      <c r="F8" s="11" t="s">
        <v>1</v>
      </c>
      <c r="G8" s="11" t="s">
        <v>22</v>
      </c>
      <c r="H8" s="11" t="s">
        <v>23</v>
      </c>
      <c r="I8" s="11" t="s">
        <v>55</v>
      </c>
      <c r="J8" s="11" t="s">
        <v>45</v>
      </c>
      <c r="K8" s="10" t="s">
        <v>46</v>
      </c>
      <c r="L8" s="9" t="s">
        <v>53</v>
      </c>
      <c r="M8" s="9" t="s">
        <v>114</v>
      </c>
      <c r="N8" s="11" t="s">
        <v>19</v>
      </c>
      <c r="O8" s="9" t="s">
        <v>20</v>
      </c>
      <c r="P8" s="17" t="s">
        <v>77</v>
      </c>
      <c r="Q8" s="11" t="s">
        <v>34</v>
      </c>
      <c r="R8" s="9" t="s">
        <v>33</v>
      </c>
      <c r="S8" s="9" t="s">
        <v>35</v>
      </c>
      <c r="T8" s="9" t="s">
        <v>36</v>
      </c>
      <c r="U8" s="11" t="s">
        <v>74</v>
      </c>
      <c r="V8" s="11" t="s">
        <v>37</v>
      </c>
      <c r="W8" s="11" t="s">
        <v>38</v>
      </c>
      <c r="X8" s="77" t="s">
        <v>52</v>
      </c>
    </row>
    <row r="9" spans="1:24" ht="17.100000000000001" customHeight="1" thickTop="1" x14ac:dyDescent="0.15">
      <c r="A9" s="14"/>
      <c r="B9" s="7"/>
      <c r="C9" s="24" t="str">
        <f>IF($B9="","",VLOOKUP($B9,ウェアタイプ!$A$2:$C$4,2,FALSE))</f>
        <v/>
      </c>
      <c r="D9" s="4" t="str">
        <f>IF($B9="","",VLOOKUP($B9,ウェアタイプ!$A$2:$C$4,3,FALSE))</f>
        <v/>
      </c>
      <c r="E9" s="13"/>
      <c r="F9" s="4" t="str">
        <f>IF($E9="","",VLOOKUP($E9,ポロカラー!$A$2:$B$29,2,FALSE))</f>
        <v/>
      </c>
      <c r="G9" s="13"/>
      <c r="H9" s="4" t="str">
        <f>IF($G9="","",VLOOKUP($G9,サイズ!$A$2:$C$13,2,FALSE))</f>
        <v/>
      </c>
      <c r="I9" s="4" t="str">
        <f>IF($G9="","",VLOOKUP($G9,サイズ!$A$2:$C$13,3,FALSE))</f>
        <v/>
      </c>
      <c r="J9" s="7"/>
      <c r="K9" s="24" t="str">
        <f>IF($J9="","",VLOOKUP($J9,デザイン!$A$2:$C$5,2,FALSE))</f>
        <v/>
      </c>
      <c r="L9" s="4" t="str">
        <f>IF($J9="","",VLOOKUP($J9,デザイン!$A$2:$C$5,3,FALSE))</f>
        <v/>
      </c>
      <c r="M9" s="13"/>
      <c r="N9" s="4" t="str">
        <f>IF($M9="","",VLOOKUP($M9,プリント色!$A$2:$C$10,2,FALSE))</f>
        <v/>
      </c>
      <c r="O9" s="4" t="str">
        <f>IF(M9="","",IF(AND(OR(OR(J9="A",J9="B")))*(OR(M9="A,B(シルバー)",M9="A,B(ゴールド)")),100,0))</f>
        <v/>
      </c>
      <c r="P9" s="21" t="str">
        <f>IF(M9="","",IF(AND(OR(J9="B"))*(OR(M9="A,B(シルバー)",M9="A,B(ゴールド)")),100,0))</f>
        <v/>
      </c>
      <c r="Q9" s="91" t="str">
        <f>IF(B9="","",1)</f>
        <v/>
      </c>
      <c r="R9" s="92" t="str">
        <f t="shared" ref="R9:R31" si="0">IF(Q9="","",((I9+L9+O9+P9)*Q9))</f>
        <v/>
      </c>
      <c r="S9" s="47"/>
      <c r="T9" s="47"/>
      <c r="U9" s="84" t="str">
        <f>IF(ISBLANK($V$4),"",IF(S9="","",($V$4)))</f>
        <v/>
      </c>
      <c r="V9" s="2"/>
      <c r="W9" s="2"/>
      <c r="X9" s="54"/>
    </row>
    <row r="10" spans="1:24" ht="17.100000000000001" customHeight="1" x14ac:dyDescent="0.15">
      <c r="A10" s="14"/>
      <c r="B10" s="7"/>
      <c r="C10" s="24" t="str">
        <f>IF($B10="","",VLOOKUP($B10,ウェアタイプ!$A$2:$C$4,2,FALSE))</f>
        <v/>
      </c>
      <c r="D10" s="4" t="str">
        <f>IF($B10="","",VLOOKUP($B10,ウェアタイプ!$A$2:$C$4,3,FALSE))</f>
        <v/>
      </c>
      <c r="E10" s="13"/>
      <c r="F10" s="5" t="str">
        <f>IF($E10="","",VLOOKUP($E10,ポロカラー!$A$2:$B$29,2,FALSE))</f>
        <v/>
      </c>
      <c r="G10" s="13"/>
      <c r="H10" s="5" t="str">
        <f>IF($G10="","",VLOOKUP($G10,サイズ!$A$2:$C$13,2,FALSE))</f>
        <v/>
      </c>
      <c r="I10" s="5" t="str">
        <f>IF($G10="","",VLOOKUP($G10,サイズ!$A$2:$C$13,3,FALSE))</f>
        <v/>
      </c>
      <c r="J10" s="56"/>
      <c r="K10" s="24" t="str">
        <f>IF($J10="","",VLOOKUP($J10,デザイン!$A$2:$C$5,2,FALSE))</f>
        <v/>
      </c>
      <c r="L10" s="4" t="str">
        <f>IF($J10="","",VLOOKUP($J10,デザイン!$A$2:$C$5,3,FALSE))</f>
        <v/>
      </c>
      <c r="M10" s="13"/>
      <c r="N10" s="4" t="str">
        <f>IF($M10="","",VLOOKUP($M10,プリント色!$A$2:$C$10,2,FALSE))</f>
        <v/>
      </c>
      <c r="O10" s="4" t="str">
        <f t="shared" ref="O10:O36" si="1">IF(M10="","",IF(AND(OR(OR(J10="A",J10="B")))*(OR(M10="A,B(シルバー)",M10="A,B(ゴールド)")),100,0))</f>
        <v/>
      </c>
      <c r="P10" s="21" t="str">
        <f t="shared" ref="P10:P36" si="2">IF(M10="","",IF(AND(OR(J10="B"))*(OR(M10="A,B(シルバー)",M10="A,B(ゴールド)")),100,0))</f>
        <v/>
      </c>
      <c r="Q10" s="91" t="str">
        <f>IF(B10="","",1)</f>
        <v/>
      </c>
      <c r="R10" s="92" t="str">
        <f t="shared" si="0"/>
        <v/>
      </c>
      <c r="S10" s="47"/>
      <c r="T10" s="47"/>
      <c r="U10" s="84" t="str">
        <f>IF(ISBLANK($V$4),"",IF(S10="","",($V$4)))</f>
        <v/>
      </c>
      <c r="V10" s="1"/>
      <c r="W10" s="1"/>
      <c r="X10" s="47"/>
    </row>
    <row r="11" spans="1:24" ht="17.100000000000001" customHeight="1" x14ac:dyDescent="0.15">
      <c r="A11" s="14"/>
      <c r="B11" s="7"/>
      <c r="C11" s="24" t="str">
        <f>IF($B11="","",VLOOKUP($B11,ウェアタイプ!$A$2:$C$4,2,FALSE))</f>
        <v/>
      </c>
      <c r="D11" s="4" t="str">
        <f>IF($B11="","",VLOOKUP($B11,ウェアタイプ!$A$2:$C$4,3,FALSE))</f>
        <v/>
      </c>
      <c r="E11" s="13"/>
      <c r="F11" s="5" t="str">
        <f>IF($E11="","",VLOOKUP($E11,ポロカラー!$A$2:$B$29,2,FALSE))</f>
        <v/>
      </c>
      <c r="G11" s="13"/>
      <c r="H11" s="5" t="str">
        <f>IF($G11="","",VLOOKUP($G11,サイズ!$A$2:$C$13,2,FALSE))</f>
        <v/>
      </c>
      <c r="I11" s="5" t="str">
        <f>IF($G11="","",VLOOKUP($G11,サイズ!$A$2:$C$13,3,FALSE))</f>
        <v/>
      </c>
      <c r="J11" s="56"/>
      <c r="K11" s="24" t="str">
        <f>IF($J11="","",VLOOKUP($J11,デザイン!$A$2:$C$5,2,FALSE))</f>
        <v/>
      </c>
      <c r="L11" s="4" t="str">
        <f>IF($J11="","",VLOOKUP($J11,デザイン!$A$2:$C$5,3,FALSE))</f>
        <v/>
      </c>
      <c r="M11" s="13"/>
      <c r="N11" s="4" t="str">
        <f>IF($M11="","",VLOOKUP($M11,プリント色!$A$2:$C$10,2,FALSE))</f>
        <v/>
      </c>
      <c r="O11" s="4" t="str">
        <f t="shared" si="1"/>
        <v/>
      </c>
      <c r="P11" s="21" t="str">
        <f t="shared" si="2"/>
        <v/>
      </c>
      <c r="Q11" s="91" t="str">
        <f t="shared" ref="Q11:Q36" si="3">IF(B11="","",1)</f>
        <v/>
      </c>
      <c r="R11" s="92" t="str">
        <f t="shared" si="0"/>
        <v/>
      </c>
      <c r="S11" s="47"/>
      <c r="T11" s="47"/>
      <c r="U11" s="84" t="str">
        <f t="shared" ref="U11:U40" si="4">IF(ISBLANK($V$4),"",IF(S11="","",($V$4)))</f>
        <v/>
      </c>
      <c r="V11" s="1"/>
      <c r="W11" s="1"/>
      <c r="X11" s="47"/>
    </row>
    <row r="12" spans="1:24" ht="17.100000000000001" customHeight="1" x14ac:dyDescent="0.15">
      <c r="A12" s="14"/>
      <c r="B12" s="7"/>
      <c r="C12" s="24" t="str">
        <f>IF($B12="","",VLOOKUP($B12,ウェアタイプ!$A$2:$C$4,2,FALSE))</f>
        <v/>
      </c>
      <c r="D12" s="4" t="str">
        <f>IF($B12="","",VLOOKUP($B12,ウェアタイプ!$A$2:$C$4,3,FALSE))</f>
        <v/>
      </c>
      <c r="E12" s="13"/>
      <c r="F12" s="5" t="str">
        <f>IF($E12="","",VLOOKUP($E12,ポロカラー!$A$2:$B$29,2,FALSE))</f>
        <v/>
      </c>
      <c r="G12" s="13"/>
      <c r="H12" s="5" t="str">
        <f>IF($G12="","",VLOOKUP($G12,サイズ!$A$2:$C$13,2,FALSE))</f>
        <v/>
      </c>
      <c r="I12" s="5" t="str">
        <f>IF($G12="","",VLOOKUP($G12,サイズ!$A$2:$C$13,3,FALSE))</f>
        <v/>
      </c>
      <c r="J12" s="49"/>
      <c r="K12" s="24" t="str">
        <f>IF($J12="","",VLOOKUP($J12,デザイン!$A$2:$C$5,2,FALSE))</f>
        <v/>
      </c>
      <c r="L12" s="4" t="str">
        <f>IF($J12="","",VLOOKUP($J12,デザイン!$A$2:$C$5,3,FALSE))</f>
        <v/>
      </c>
      <c r="M12" s="13"/>
      <c r="N12" s="4" t="str">
        <f>IF($M12="","",VLOOKUP($M12,プリント色!$A$2:$C$10,2,FALSE))</f>
        <v/>
      </c>
      <c r="O12" s="4" t="str">
        <f t="shared" si="1"/>
        <v/>
      </c>
      <c r="P12" s="21" t="str">
        <f t="shared" si="2"/>
        <v/>
      </c>
      <c r="Q12" s="91" t="str">
        <f t="shared" si="3"/>
        <v/>
      </c>
      <c r="R12" s="92" t="str">
        <f t="shared" si="0"/>
        <v/>
      </c>
      <c r="S12" s="47"/>
      <c r="T12" s="47"/>
      <c r="U12" s="84" t="str">
        <f t="shared" si="4"/>
        <v/>
      </c>
      <c r="V12" s="1"/>
      <c r="W12" s="1"/>
      <c r="X12" s="55"/>
    </row>
    <row r="13" spans="1:24" ht="17.100000000000001" customHeight="1" x14ac:dyDescent="0.15">
      <c r="A13" s="14"/>
      <c r="B13" s="7"/>
      <c r="C13" s="24" t="str">
        <f>IF($B13="","",VLOOKUP($B13,ウェアタイプ!$A$2:$C$4,2,FALSE))</f>
        <v/>
      </c>
      <c r="D13" s="5" t="str">
        <f>IF($B13="","",VLOOKUP($B13,ウェアタイプ!$A$2:$C$4,3,FALSE))</f>
        <v/>
      </c>
      <c r="E13" s="13"/>
      <c r="F13" s="5" t="str">
        <f>IF($E13="","",VLOOKUP($E13,ポロカラー!$A$2:$B$29,2,FALSE))</f>
        <v/>
      </c>
      <c r="G13" s="13"/>
      <c r="H13" s="5" t="str">
        <f>IF($G13="","",VLOOKUP($G13,サイズ!$A$2:$C$13,2,FALSE))</f>
        <v/>
      </c>
      <c r="I13" s="5" t="str">
        <f>IF($G13="","",VLOOKUP($G13,サイズ!$A$2:$C$13,3,FALSE))</f>
        <v/>
      </c>
      <c r="J13" s="49"/>
      <c r="K13" s="24" t="str">
        <f>IF($J13="","",VLOOKUP($J13,デザイン!$A$2:$C$5,2,FALSE))</f>
        <v/>
      </c>
      <c r="L13" s="4" t="str">
        <f>IF($J13="","",VLOOKUP($J13,デザイン!$A$2:$C$5,3,FALSE))</f>
        <v/>
      </c>
      <c r="M13" s="13"/>
      <c r="N13" s="4" t="str">
        <f>IF($M13="","",VLOOKUP($M13,プリント色!$A$2:$C$10,2,FALSE))</f>
        <v/>
      </c>
      <c r="O13" s="4" t="str">
        <f t="shared" si="1"/>
        <v/>
      </c>
      <c r="P13" s="21" t="str">
        <f t="shared" si="2"/>
        <v/>
      </c>
      <c r="Q13" s="91" t="str">
        <f t="shared" si="3"/>
        <v/>
      </c>
      <c r="R13" s="92" t="str">
        <f t="shared" si="0"/>
        <v/>
      </c>
      <c r="S13" s="47"/>
      <c r="T13" s="47"/>
      <c r="U13" s="84" t="str">
        <f t="shared" si="4"/>
        <v/>
      </c>
      <c r="V13" s="1"/>
      <c r="W13" s="1"/>
      <c r="X13" s="48"/>
    </row>
    <row r="14" spans="1:24" ht="17.100000000000001" customHeight="1" x14ac:dyDescent="0.15">
      <c r="A14" s="14"/>
      <c r="B14" s="7"/>
      <c r="C14" s="24" t="str">
        <f>IF($B14="","",VLOOKUP($B14,ウェアタイプ!$A$2:$C$4,2,FALSE))</f>
        <v/>
      </c>
      <c r="D14" s="5" t="str">
        <f>IF($B14="","",VLOOKUP($B14,ウェアタイプ!$A$2:$C$4,3,FALSE))</f>
        <v/>
      </c>
      <c r="E14" s="13"/>
      <c r="F14" s="5" t="str">
        <f>IF($E14="","",VLOOKUP($E14,ポロカラー!$A$2:$B$29,2,FALSE))</f>
        <v/>
      </c>
      <c r="G14" s="13"/>
      <c r="H14" s="5" t="str">
        <f>IF($G14="","",VLOOKUP($G14,サイズ!$A$2:$C$13,2,FALSE))</f>
        <v/>
      </c>
      <c r="I14" s="5" t="str">
        <f>IF($G14="","",VLOOKUP($G14,サイズ!$A$2:$C$13,3,FALSE))</f>
        <v/>
      </c>
      <c r="J14" s="49"/>
      <c r="K14" s="24" t="str">
        <f>IF($J14="","",VLOOKUP($J14,デザイン!$A$2:$C$5,2,FALSE))</f>
        <v/>
      </c>
      <c r="L14" s="4" t="str">
        <f>IF($J14="","",VLOOKUP($J14,デザイン!$A$2:$C$5,3,FALSE))</f>
        <v/>
      </c>
      <c r="M14" s="13"/>
      <c r="N14" s="4" t="str">
        <f>IF($M14="","",VLOOKUP($M14,プリント色!$A$2:$C$10,2,FALSE))</f>
        <v/>
      </c>
      <c r="O14" s="4" t="str">
        <f t="shared" si="1"/>
        <v/>
      </c>
      <c r="P14" s="21" t="str">
        <f t="shared" si="2"/>
        <v/>
      </c>
      <c r="Q14" s="91" t="str">
        <f t="shared" si="3"/>
        <v/>
      </c>
      <c r="R14" s="92" t="str">
        <f t="shared" si="0"/>
        <v/>
      </c>
      <c r="S14" s="47"/>
      <c r="T14" s="47"/>
      <c r="U14" s="84" t="str">
        <f t="shared" si="4"/>
        <v/>
      </c>
      <c r="V14" s="1"/>
      <c r="W14" s="1"/>
      <c r="X14" s="48"/>
    </row>
    <row r="15" spans="1:24" ht="17.100000000000001" customHeight="1" x14ac:dyDescent="0.15">
      <c r="A15" s="14"/>
      <c r="B15" s="7"/>
      <c r="C15" s="24" t="str">
        <f>IF($B15="","",VLOOKUP($B15,ウェアタイプ!$A$2:$C$4,2,FALSE))</f>
        <v/>
      </c>
      <c r="D15" s="5" t="str">
        <f>IF($B15="","",VLOOKUP($B15,ウェアタイプ!$A$2:$C$4,3,FALSE))</f>
        <v/>
      </c>
      <c r="E15" s="13"/>
      <c r="F15" s="5" t="str">
        <f>IF($E15="","",VLOOKUP($E15,ポロカラー!$A$2:$B$29,2,FALSE))</f>
        <v/>
      </c>
      <c r="G15" s="13"/>
      <c r="H15" s="5" t="str">
        <f>IF($G15="","",VLOOKUP($G15,サイズ!$A$2:$C$13,2,FALSE))</f>
        <v/>
      </c>
      <c r="I15" s="5" t="str">
        <f>IF($G15="","",VLOOKUP($G15,サイズ!$A$2:$C$13,3,FALSE))</f>
        <v/>
      </c>
      <c r="J15" s="49"/>
      <c r="K15" s="24" t="str">
        <f>IF($J15="","",VLOOKUP($J15,デザイン!$A$2:$C$5,2,FALSE))</f>
        <v/>
      </c>
      <c r="L15" s="4" t="str">
        <f>IF($J15="","",VLOOKUP($J15,デザイン!$A$2:$C$5,3,FALSE))</f>
        <v/>
      </c>
      <c r="M15" s="13"/>
      <c r="N15" s="4" t="str">
        <f>IF($M15="","",VLOOKUP($M15,プリント色!$A$2:$C$10,2,FALSE))</f>
        <v/>
      </c>
      <c r="O15" s="4" t="str">
        <f t="shared" si="1"/>
        <v/>
      </c>
      <c r="P15" s="21" t="str">
        <f t="shared" si="2"/>
        <v/>
      </c>
      <c r="Q15" s="91" t="str">
        <f t="shared" si="3"/>
        <v/>
      </c>
      <c r="R15" s="92" t="str">
        <f t="shared" si="0"/>
        <v/>
      </c>
      <c r="S15" s="47"/>
      <c r="T15" s="47"/>
      <c r="U15" s="84" t="str">
        <f t="shared" si="4"/>
        <v/>
      </c>
      <c r="V15" s="1"/>
      <c r="W15" s="1"/>
      <c r="X15" s="47"/>
    </row>
    <row r="16" spans="1:24" ht="17.100000000000001" customHeight="1" x14ac:dyDescent="0.15">
      <c r="A16" s="14"/>
      <c r="B16" s="7"/>
      <c r="C16" s="24" t="str">
        <f>IF($B16="","",VLOOKUP($B16,ウェアタイプ!$A$2:$C$4,2,FALSE))</f>
        <v/>
      </c>
      <c r="D16" s="5" t="str">
        <f>IF($B16="","",VLOOKUP($B16,ウェアタイプ!$A$2:$C$4,3,FALSE))</f>
        <v/>
      </c>
      <c r="E16" s="13"/>
      <c r="F16" s="5" t="str">
        <f>IF($E16="","",VLOOKUP($E16,ポロカラー!$A$2:$B$29,2,FALSE))</f>
        <v/>
      </c>
      <c r="G16" s="13"/>
      <c r="H16" s="5" t="str">
        <f>IF($G16="","",VLOOKUP($G16,サイズ!$A$2:$C$13,2,FALSE))</f>
        <v/>
      </c>
      <c r="I16" s="5" t="str">
        <f>IF($G16="","",VLOOKUP($G16,サイズ!$A$2:$C$13,3,FALSE))</f>
        <v/>
      </c>
      <c r="J16" s="49"/>
      <c r="K16" s="24" t="str">
        <f>IF($J16="","",VLOOKUP($J16,デザイン!$A$2:$C$5,2,FALSE))</f>
        <v/>
      </c>
      <c r="L16" s="4" t="str">
        <f>IF($J16="","",VLOOKUP($J16,デザイン!$A$2:$C$5,3,FALSE))</f>
        <v/>
      </c>
      <c r="M16" s="13"/>
      <c r="N16" s="4" t="str">
        <f>IF($M16="","",VLOOKUP($M16,プリント色!$A$2:$C$10,2,FALSE))</f>
        <v/>
      </c>
      <c r="O16" s="4" t="str">
        <f t="shared" si="1"/>
        <v/>
      </c>
      <c r="P16" s="21" t="str">
        <f t="shared" si="2"/>
        <v/>
      </c>
      <c r="Q16" s="91" t="str">
        <f t="shared" si="3"/>
        <v/>
      </c>
      <c r="R16" s="92" t="str">
        <f t="shared" si="0"/>
        <v/>
      </c>
      <c r="S16" s="47"/>
      <c r="T16" s="47"/>
      <c r="U16" s="84" t="str">
        <f t="shared" si="4"/>
        <v/>
      </c>
      <c r="V16" s="1"/>
      <c r="W16" s="1"/>
      <c r="X16" s="47"/>
    </row>
    <row r="17" spans="1:24" ht="17.100000000000001" customHeight="1" x14ac:dyDescent="0.15">
      <c r="A17" s="14"/>
      <c r="B17" s="7"/>
      <c r="C17" s="24" t="str">
        <f>IF($B17="","",VLOOKUP($B17,ウェアタイプ!$A$2:$C$4,2,FALSE))</f>
        <v/>
      </c>
      <c r="D17" s="5" t="str">
        <f>IF($B17="","",VLOOKUP($B17,ウェアタイプ!$A$2:$C$4,3,FALSE))</f>
        <v/>
      </c>
      <c r="E17" s="13"/>
      <c r="F17" s="5" t="str">
        <f>IF($E17="","",VLOOKUP($E17,ポロカラー!$A$2:$B$29,2,FALSE))</f>
        <v/>
      </c>
      <c r="G17" s="13"/>
      <c r="H17" s="5" t="str">
        <f>IF($G17="","",VLOOKUP($G17,サイズ!$A$2:$C$13,2,FALSE))</f>
        <v/>
      </c>
      <c r="I17" s="5" t="str">
        <f>IF($G17="","",VLOOKUP($G17,サイズ!$A$2:$C$13,3,FALSE))</f>
        <v/>
      </c>
      <c r="J17" s="7"/>
      <c r="K17" s="24" t="str">
        <f>IF($J17="","",VLOOKUP($J17,デザイン!$A$2:$C$5,2,FALSE))</f>
        <v/>
      </c>
      <c r="L17" s="4" t="str">
        <f>IF($J17="","",VLOOKUP($J17,デザイン!$A$2:$C$5,3,FALSE))</f>
        <v/>
      </c>
      <c r="M17" s="13"/>
      <c r="N17" s="4" t="str">
        <f>IF($M17="","",VLOOKUP($M17,プリント色!$A$2:$C$10,2,FALSE))</f>
        <v/>
      </c>
      <c r="O17" s="4" t="str">
        <f t="shared" si="1"/>
        <v/>
      </c>
      <c r="P17" s="21" t="str">
        <f t="shared" si="2"/>
        <v/>
      </c>
      <c r="Q17" s="91" t="str">
        <f t="shared" si="3"/>
        <v/>
      </c>
      <c r="R17" s="92" t="str">
        <f t="shared" si="0"/>
        <v/>
      </c>
      <c r="S17" s="47"/>
      <c r="T17" s="47"/>
      <c r="U17" s="84" t="str">
        <f t="shared" si="4"/>
        <v/>
      </c>
      <c r="V17" s="1"/>
      <c r="W17" s="1"/>
      <c r="X17" s="47"/>
    </row>
    <row r="18" spans="1:24" ht="17.100000000000001" customHeight="1" x14ac:dyDescent="0.15">
      <c r="A18" s="14"/>
      <c r="B18" s="7"/>
      <c r="C18" s="24" t="str">
        <f>IF($B18="","",VLOOKUP($B18,ウェアタイプ!$A$2:$C$4,2,FALSE))</f>
        <v/>
      </c>
      <c r="D18" s="5" t="str">
        <f>IF($B18="","",VLOOKUP($B18,ウェアタイプ!$A$2:$C$4,3,FALSE))</f>
        <v/>
      </c>
      <c r="E18" s="13"/>
      <c r="F18" s="5" t="str">
        <f>IF($E18="","",VLOOKUP($E18,ポロカラー!$A$2:$B$29,2,FALSE))</f>
        <v/>
      </c>
      <c r="G18" s="13"/>
      <c r="H18" s="5" t="str">
        <f>IF($G18="","",VLOOKUP($G18,サイズ!$A$2:$C$13,2,FALSE))</f>
        <v/>
      </c>
      <c r="I18" s="5" t="str">
        <f>IF($G18="","",VLOOKUP($G18,サイズ!$A$2:$C$13,3,FALSE))</f>
        <v/>
      </c>
      <c r="J18" s="7"/>
      <c r="K18" s="24" t="str">
        <f>IF($J18="","",VLOOKUP($J18,デザイン!$A$2:$C$5,2,FALSE))</f>
        <v/>
      </c>
      <c r="L18" s="4" t="str">
        <f>IF($J18="","",VLOOKUP($J18,デザイン!$A$2:$C$5,3,FALSE))</f>
        <v/>
      </c>
      <c r="M18" s="13"/>
      <c r="N18" s="4" t="str">
        <f>IF($M18="","",VLOOKUP($M18,プリント色!$A$2:$C$10,2,FALSE))</f>
        <v/>
      </c>
      <c r="O18" s="4" t="str">
        <f t="shared" si="1"/>
        <v/>
      </c>
      <c r="P18" s="21" t="str">
        <f t="shared" si="2"/>
        <v/>
      </c>
      <c r="Q18" s="91" t="str">
        <f t="shared" si="3"/>
        <v/>
      </c>
      <c r="R18" s="92" t="str">
        <f t="shared" si="0"/>
        <v/>
      </c>
      <c r="S18" s="47"/>
      <c r="T18" s="47"/>
      <c r="U18" s="84" t="str">
        <f t="shared" si="4"/>
        <v/>
      </c>
      <c r="V18" s="1"/>
      <c r="W18" s="1"/>
      <c r="X18" s="47"/>
    </row>
    <row r="19" spans="1:24" ht="17.100000000000001" customHeight="1" x14ac:dyDescent="0.15">
      <c r="A19" s="14"/>
      <c r="B19" s="7"/>
      <c r="C19" s="24" t="str">
        <f>IF($B19="","",VLOOKUP($B19,ウェアタイプ!$A$2:$C$4,2,FALSE))</f>
        <v/>
      </c>
      <c r="D19" s="5" t="str">
        <f>IF($B19="","",VLOOKUP($B19,ウェアタイプ!$A$2:$C$4,3,FALSE))</f>
        <v/>
      </c>
      <c r="E19" s="13"/>
      <c r="F19" s="5" t="str">
        <f>IF($E19="","",VLOOKUP($E19,ポロカラー!$A$2:$B$29,2,FALSE))</f>
        <v/>
      </c>
      <c r="G19" s="13"/>
      <c r="H19" s="5" t="str">
        <f>IF($G19="","",VLOOKUP($G19,サイズ!$A$2:$C$13,2,FALSE))</f>
        <v/>
      </c>
      <c r="I19" s="5" t="str">
        <f>IF($G19="","",VLOOKUP($G19,サイズ!$A$2:$C$13,3,FALSE))</f>
        <v/>
      </c>
      <c r="J19" s="7"/>
      <c r="K19" s="24" t="str">
        <f>IF($J19="","",VLOOKUP($J19,デザイン!$A$2:$C$5,2,FALSE))</f>
        <v/>
      </c>
      <c r="L19" s="4" t="str">
        <f>IF($J19="","",VLOOKUP($J19,デザイン!$A$2:$C$5,3,FALSE))</f>
        <v/>
      </c>
      <c r="M19" s="13"/>
      <c r="N19" s="4" t="str">
        <f>IF($M19="","",VLOOKUP($M19,プリント色!$A$2:$C$10,2,FALSE))</f>
        <v/>
      </c>
      <c r="O19" s="4" t="str">
        <f t="shared" si="1"/>
        <v/>
      </c>
      <c r="P19" s="21" t="str">
        <f t="shared" si="2"/>
        <v/>
      </c>
      <c r="Q19" s="91" t="str">
        <f t="shared" si="3"/>
        <v/>
      </c>
      <c r="R19" s="92" t="str">
        <f t="shared" si="0"/>
        <v/>
      </c>
      <c r="S19" s="15"/>
      <c r="T19" s="15"/>
      <c r="U19" s="84" t="str">
        <f t="shared" si="4"/>
        <v/>
      </c>
      <c r="V19" s="1"/>
      <c r="W19" s="1"/>
      <c r="X19" s="15"/>
    </row>
    <row r="20" spans="1:24" ht="17.100000000000001" customHeight="1" x14ac:dyDescent="0.15">
      <c r="A20" s="14"/>
      <c r="B20" s="7"/>
      <c r="C20" s="24" t="str">
        <f>IF($B20="","",VLOOKUP($B20,ウェアタイプ!$A$2:$C$4,2,FALSE))</f>
        <v/>
      </c>
      <c r="D20" s="5" t="str">
        <f>IF($B20="","",VLOOKUP($B20,ウェアタイプ!$A$2:$C$4,3,FALSE))</f>
        <v/>
      </c>
      <c r="E20" s="13"/>
      <c r="F20" s="5" t="str">
        <f>IF($E20="","",VLOOKUP($E20,ポロカラー!$A$2:$B$29,2,FALSE))</f>
        <v/>
      </c>
      <c r="G20" s="13"/>
      <c r="H20" s="5" t="str">
        <f>IF($G20="","",VLOOKUP($G20,サイズ!$A$2:$C$13,2,FALSE))</f>
        <v/>
      </c>
      <c r="I20" s="5" t="str">
        <f>IF($G20="","",VLOOKUP($G20,サイズ!$A$2:$C$13,3,FALSE))</f>
        <v/>
      </c>
      <c r="J20" s="7"/>
      <c r="K20" s="24" t="str">
        <f>IF($J20="","",VLOOKUP($J20,デザイン!$A$2:$C$5,2,FALSE))</f>
        <v/>
      </c>
      <c r="L20" s="4" t="str">
        <f>IF($J20="","",VLOOKUP($J20,デザイン!$A$2:$C$5,3,FALSE))</f>
        <v/>
      </c>
      <c r="M20" s="13"/>
      <c r="N20" s="4" t="str">
        <f>IF($M20="","",VLOOKUP($M20,プリント色!$A$2:$C$10,2,FALSE))</f>
        <v/>
      </c>
      <c r="O20" s="4" t="str">
        <f t="shared" si="1"/>
        <v/>
      </c>
      <c r="P20" s="21" t="str">
        <f t="shared" si="2"/>
        <v/>
      </c>
      <c r="Q20" s="91" t="str">
        <f t="shared" si="3"/>
        <v/>
      </c>
      <c r="R20" s="92" t="str">
        <f t="shared" si="0"/>
        <v/>
      </c>
      <c r="S20" s="15"/>
      <c r="T20" s="15"/>
      <c r="U20" s="84" t="str">
        <f t="shared" si="4"/>
        <v/>
      </c>
      <c r="V20" s="1"/>
      <c r="W20" s="1"/>
      <c r="X20" s="15"/>
    </row>
    <row r="21" spans="1:24" ht="17.100000000000001" customHeight="1" x14ac:dyDescent="0.15">
      <c r="A21" s="14"/>
      <c r="B21" s="7"/>
      <c r="C21" s="24" t="str">
        <f>IF($B21="","",VLOOKUP($B21,ウェアタイプ!$A$2:$C$4,2,FALSE))</f>
        <v/>
      </c>
      <c r="D21" s="5" t="str">
        <f>IF($B21="","",VLOOKUP($B21,ウェアタイプ!$A$2:$C$4,3,FALSE))</f>
        <v/>
      </c>
      <c r="E21" s="13"/>
      <c r="F21" s="5" t="str">
        <f>IF($E21="","",VLOOKUP($E21,ポロカラー!$A$2:$B$29,2,FALSE))</f>
        <v/>
      </c>
      <c r="G21" s="13"/>
      <c r="H21" s="5" t="str">
        <f>IF($G21="","",VLOOKUP($G21,サイズ!$A$2:$C$13,2,FALSE))</f>
        <v/>
      </c>
      <c r="I21" s="5" t="str">
        <f>IF($G21="","",VLOOKUP($G21,サイズ!$A$2:$C$13,3,FALSE))</f>
        <v/>
      </c>
      <c r="J21" s="7"/>
      <c r="K21" s="24" t="str">
        <f>IF($J21="","",VLOOKUP($J21,デザイン!$A$2:$C$5,2,FALSE))</f>
        <v/>
      </c>
      <c r="L21" s="4" t="str">
        <f>IF($J21="","",VLOOKUP($J21,デザイン!$A$2:$C$5,3,FALSE))</f>
        <v/>
      </c>
      <c r="M21" s="13"/>
      <c r="N21" s="4" t="str">
        <f>IF($M21="","",VLOOKUP($M21,プリント色!$A$2:$C$10,2,FALSE))</f>
        <v/>
      </c>
      <c r="O21" s="4" t="str">
        <f t="shared" si="1"/>
        <v/>
      </c>
      <c r="P21" s="21" t="str">
        <f t="shared" si="2"/>
        <v/>
      </c>
      <c r="Q21" s="91" t="str">
        <f t="shared" si="3"/>
        <v/>
      </c>
      <c r="R21" s="92" t="str">
        <f t="shared" si="0"/>
        <v/>
      </c>
      <c r="S21" s="15"/>
      <c r="T21" s="15"/>
      <c r="U21" s="84" t="str">
        <f t="shared" si="4"/>
        <v/>
      </c>
      <c r="V21" s="1"/>
      <c r="W21" s="1"/>
      <c r="X21" s="15"/>
    </row>
    <row r="22" spans="1:24" ht="17.100000000000001" customHeight="1" x14ac:dyDescent="0.15">
      <c r="A22" s="14"/>
      <c r="B22" s="7"/>
      <c r="C22" s="24" t="str">
        <f>IF($B22="","",VLOOKUP($B22,ウェアタイプ!$A$2:$C$4,2,FALSE))</f>
        <v/>
      </c>
      <c r="D22" s="5" t="str">
        <f>IF($B22="","",VLOOKUP($B22,ウェアタイプ!$A$2:$C$4,3,FALSE))</f>
        <v/>
      </c>
      <c r="E22" s="13"/>
      <c r="F22" s="5" t="str">
        <f>IF($E22="","",VLOOKUP($E22,ポロカラー!$A$2:$B$29,2,FALSE))</f>
        <v/>
      </c>
      <c r="G22" s="13"/>
      <c r="H22" s="5" t="str">
        <f>IF($G22="","",VLOOKUP($G22,サイズ!$A$2:$C$13,2,FALSE))</f>
        <v/>
      </c>
      <c r="I22" s="5" t="str">
        <f>IF($G22="","",VLOOKUP($G22,サイズ!$A$2:$C$13,3,FALSE))</f>
        <v/>
      </c>
      <c r="J22" s="49"/>
      <c r="K22" s="24" t="str">
        <f>IF($J22="","",VLOOKUP($J22,デザイン!$A$2:$C$5,2,FALSE))</f>
        <v/>
      </c>
      <c r="L22" s="4" t="str">
        <f>IF($J22="","",VLOOKUP($J22,デザイン!$A$2:$C$5,3,FALSE))</f>
        <v/>
      </c>
      <c r="M22" s="13"/>
      <c r="N22" s="4" t="str">
        <f>IF($M22="","",VLOOKUP($M22,プリント色!$A$2:$C$10,2,FALSE))</f>
        <v/>
      </c>
      <c r="O22" s="4" t="str">
        <f t="shared" si="1"/>
        <v/>
      </c>
      <c r="P22" s="21" t="str">
        <f t="shared" si="2"/>
        <v/>
      </c>
      <c r="Q22" s="91" t="str">
        <f t="shared" si="3"/>
        <v/>
      </c>
      <c r="R22" s="92" t="str">
        <f t="shared" si="0"/>
        <v/>
      </c>
      <c r="S22" s="15"/>
      <c r="T22" s="15"/>
      <c r="U22" s="84" t="str">
        <f t="shared" si="4"/>
        <v/>
      </c>
      <c r="V22" s="1"/>
      <c r="W22" s="1"/>
      <c r="X22" s="15"/>
    </row>
    <row r="23" spans="1:24" ht="17.100000000000001" customHeight="1" x14ac:dyDescent="0.15">
      <c r="A23" s="14"/>
      <c r="B23" s="7"/>
      <c r="C23" s="24" t="str">
        <f>IF($B23="","",VLOOKUP($B23,ウェアタイプ!$A$2:$C$4,2,FALSE))</f>
        <v/>
      </c>
      <c r="D23" s="5" t="str">
        <f>IF($B23="","",VLOOKUP($B23,ウェアタイプ!$A$2:$C$4,3,FALSE))</f>
        <v/>
      </c>
      <c r="E23" s="13"/>
      <c r="F23" s="5" t="str">
        <f>IF($E23="","",VLOOKUP($E23,ポロカラー!$A$2:$B$29,2,FALSE))</f>
        <v/>
      </c>
      <c r="G23" s="13"/>
      <c r="H23" s="5" t="str">
        <f>IF($G23="","",VLOOKUP($G23,サイズ!$A$2:$C$13,2,FALSE))</f>
        <v/>
      </c>
      <c r="I23" s="5" t="str">
        <f>IF($G23="","",VLOOKUP($G23,サイズ!$A$2:$C$13,3,FALSE))</f>
        <v/>
      </c>
      <c r="J23" s="49"/>
      <c r="K23" s="24" t="str">
        <f>IF($J23="","",VLOOKUP($J23,デザイン!$A$2:$C$5,2,FALSE))</f>
        <v/>
      </c>
      <c r="L23" s="4" t="str">
        <f>IF($J23="","",VLOOKUP($J23,デザイン!$A$2:$C$5,3,FALSE))</f>
        <v/>
      </c>
      <c r="M23" s="13"/>
      <c r="N23" s="4" t="str">
        <f>IF($M23="","",VLOOKUP($M23,プリント色!$A$2:$C$10,2,FALSE))</f>
        <v/>
      </c>
      <c r="O23" s="4" t="str">
        <f t="shared" si="1"/>
        <v/>
      </c>
      <c r="P23" s="21" t="str">
        <f t="shared" si="2"/>
        <v/>
      </c>
      <c r="Q23" s="91" t="str">
        <f t="shared" si="3"/>
        <v/>
      </c>
      <c r="R23" s="92" t="str">
        <f t="shared" si="0"/>
        <v/>
      </c>
      <c r="S23" s="15"/>
      <c r="T23" s="15"/>
      <c r="U23" s="84" t="str">
        <f t="shared" si="4"/>
        <v/>
      </c>
      <c r="V23" s="1"/>
      <c r="W23" s="1"/>
      <c r="X23" s="15"/>
    </row>
    <row r="24" spans="1:24" ht="17.100000000000001" customHeight="1" x14ac:dyDescent="0.15">
      <c r="A24" s="14"/>
      <c r="B24" s="7"/>
      <c r="C24" s="24" t="str">
        <f>IF($B24="","",VLOOKUP($B24,ウェアタイプ!$A$2:$C$4,2,FALSE))</f>
        <v/>
      </c>
      <c r="D24" s="5" t="str">
        <f>IF($B24="","",VLOOKUP($B24,ウェアタイプ!$A$2:$C$4,3,FALSE))</f>
        <v/>
      </c>
      <c r="E24" s="13"/>
      <c r="F24" s="5" t="str">
        <f>IF($E24="","",VLOOKUP($E24,ポロカラー!$A$2:$B$29,2,FALSE))</f>
        <v/>
      </c>
      <c r="G24" s="13"/>
      <c r="H24" s="5" t="str">
        <f>IF($G24="","",VLOOKUP($G24,サイズ!$A$2:$C$13,2,FALSE))</f>
        <v/>
      </c>
      <c r="I24" s="5" t="str">
        <f>IF($G24="","",VLOOKUP($G24,サイズ!$A$2:$C$13,3,FALSE))</f>
        <v/>
      </c>
      <c r="J24" s="7"/>
      <c r="K24" s="24" t="str">
        <f>IF($J24="","",VLOOKUP($J24,デザイン!$A$2:$C$5,2,FALSE))</f>
        <v/>
      </c>
      <c r="L24" s="4" t="str">
        <f>IF($J24="","",VLOOKUP($J24,デザイン!$A$2:$C$5,3,FALSE))</f>
        <v/>
      </c>
      <c r="M24" s="13"/>
      <c r="N24" s="4" t="str">
        <f>IF($M24="","",VLOOKUP($M24,プリント色!$A$2:$C$10,2,FALSE))</f>
        <v/>
      </c>
      <c r="O24" s="4" t="str">
        <f t="shared" si="1"/>
        <v/>
      </c>
      <c r="P24" s="21" t="str">
        <f t="shared" si="2"/>
        <v/>
      </c>
      <c r="Q24" s="91" t="str">
        <f t="shared" si="3"/>
        <v/>
      </c>
      <c r="R24" s="92" t="str">
        <f t="shared" si="0"/>
        <v/>
      </c>
      <c r="S24" s="15"/>
      <c r="T24" s="15"/>
      <c r="U24" s="84" t="str">
        <f t="shared" si="4"/>
        <v/>
      </c>
      <c r="V24" s="1"/>
      <c r="W24" s="1"/>
      <c r="X24" s="15"/>
    </row>
    <row r="25" spans="1:24" ht="17.100000000000001" customHeight="1" x14ac:dyDescent="0.15">
      <c r="A25" s="14"/>
      <c r="B25" s="7"/>
      <c r="C25" s="24" t="str">
        <f>IF($B25="","",VLOOKUP($B25,ウェアタイプ!$A$2:$C$4,2,FALSE))</f>
        <v/>
      </c>
      <c r="D25" s="5" t="str">
        <f>IF($B25="","",VLOOKUP($B25,ウェアタイプ!$A$2:$C$4,3,FALSE))</f>
        <v/>
      </c>
      <c r="E25" s="13"/>
      <c r="F25" s="5" t="str">
        <f>IF($E25="","",VLOOKUP($E25,ポロカラー!$A$2:$B$29,2,FALSE))</f>
        <v/>
      </c>
      <c r="G25" s="13"/>
      <c r="H25" s="5" t="str">
        <f>IF($G25="","",VLOOKUP($G25,サイズ!$A$2:$C$13,2,FALSE))</f>
        <v/>
      </c>
      <c r="I25" s="5" t="str">
        <f>IF($G25="","",VLOOKUP($G25,サイズ!$A$2:$C$13,3,FALSE))</f>
        <v/>
      </c>
      <c r="J25" s="7"/>
      <c r="K25" s="24" t="str">
        <f>IF($J25="","",VLOOKUP($J25,デザイン!$A$2:$C$5,2,FALSE))</f>
        <v/>
      </c>
      <c r="L25" s="4" t="str">
        <f>IF($J25="","",VLOOKUP($J25,デザイン!$A$2:$C$5,3,FALSE))</f>
        <v/>
      </c>
      <c r="M25" s="13"/>
      <c r="N25" s="4" t="str">
        <f>IF($M25="","",VLOOKUP($M25,プリント色!$A$2:$C$10,2,FALSE))</f>
        <v/>
      </c>
      <c r="O25" s="4" t="str">
        <f t="shared" si="1"/>
        <v/>
      </c>
      <c r="P25" s="21" t="str">
        <f t="shared" si="2"/>
        <v/>
      </c>
      <c r="Q25" s="91" t="str">
        <f t="shared" si="3"/>
        <v/>
      </c>
      <c r="R25" s="92" t="str">
        <f t="shared" si="0"/>
        <v/>
      </c>
      <c r="S25" s="15"/>
      <c r="T25" s="15"/>
      <c r="U25" s="84" t="str">
        <f t="shared" si="4"/>
        <v/>
      </c>
      <c r="V25" s="1"/>
      <c r="W25" s="1"/>
      <c r="X25" s="15"/>
    </row>
    <row r="26" spans="1:24" ht="17.100000000000001" customHeight="1" x14ac:dyDescent="0.15">
      <c r="A26" s="14"/>
      <c r="B26" s="7"/>
      <c r="C26" s="24" t="str">
        <f>IF($B26="","",VLOOKUP($B26,ウェアタイプ!$A$2:$C$4,2,FALSE))</f>
        <v/>
      </c>
      <c r="D26" s="5" t="str">
        <f>IF($B26="","",VLOOKUP($B26,ウェアタイプ!$A$2:$C$4,3,FALSE))</f>
        <v/>
      </c>
      <c r="E26" s="13"/>
      <c r="F26" s="5" t="str">
        <f>IF($E26="","",VLOOKUP($E26,ポロカラー!$A$2:$B$29,2,FALSE))</f>
        <v/>
      </c>
      <c r="G26" s="13"/>
      <c r="H26" s="5" t="str">
        <f>IF($G26="","",VLOOKUP($G26,サイズ!$A$2:$C$13,2,FALSE))</f>
        <v/>
      </c>
      <c r="I26" s="5" t="str">
        <f>IF($G26="","",VLOOKUP($G26,サイズ!$A$2:$C$13,3,FALSE))</f>
        <v/>
      </c>
      <c r="J26" s="7"/>
      <c r="K26" s="24" t="str">
        <f>IF($J26="","",VLOOKUP($J26,デザイン!$A$2:$C$5,2,FALSE))</f>
        <v/>
      </c>
      <c r="L26" s="4" t="str">
        <f>IF($J26="","",VLOOKUP($J26,デザイン!$A$2:$C$5,3,FALSE))</f>
        <v/>
      </c>
      <c r="M26" s="13"/>
      <c r="N26" s="4" t="str">
        <f>IF($M26="","",VLOOKUP($M26,プリント色!$A$2:$C$10,2,FALSE))</f>
        <v/>
      </c>
      <c r="O26" s="4" t="str">
        <f t="shared" si="1"/>
        <v/>
      </c>
      <c r="P26" s="21" t="str">
        <f t="shared" si="2"/>
        <v/>
      </c>
      <c r="Q26" s="91" t="str">
        <f t="shared" si="3"/>
        <v/>
      </c>
      <c r="R26" s="92" t="str">
        <f t="shared" si="0"/>
        <v/>
      </c>
      <c r="S26" s="15"/>
      <c r="T26" s="15"/>
      <c r="U26" s="84" t="str">
        <f t="shared" si="4"/>
        <v/>
      </c>
      <c r="V26" s="1"/>
      <c r="W26" s="1"/>
      <c r="X26" s="15"/>
    </row>
    <row r="27" spans="1:24" ht="17.100000000000001" customHeight="1" x14ac:dyDescent="0.15">
      <c r="A27" s="14"/>
      <c r="B27" s="7"/>
      <c r="C27" s="24" t="str">
        <f>IF($B27="","",VLOOKUP($B27,ウェアタイプ!$A$2:$C$4,2,FALSE))</f>
        <v/>
      </c>
      <c r="D27" s="5" t="str">
        <f>IF($B27="","",VLOOKUP($B27,ウェアタイプ!$A$2:$C$4,3,FALSE))</f>
        <v/>
      </c>
      <c r="E27" s="13"/>
      <c r="F27" s="5" t="str">
        <f>IF($E27="","",VLOOKUP($E27,ポロカラー!$A$2:$B$29,2,FALSE))</f>
        <v/>
      </c>
      <c r="G27" s="13"/>
      <c r="H27" s="5" t="str">
        <f>IF($G27="","",VLOOKUP($G27,サイズ!$A$2:$C$13,2,FALSE))</f>
        <v/>
      </c>
      <c r="I27" s="5" t="str">
        <f>IF($G27="","",VLOOKUP($G27,サイズ!$A$2:$C$13,3,FALSE))</f>
        <v/>
      </c>
      <c r="J27" s="7"/>
      <c r="K27" s="24" t="str">
        <f>IF($J27="","",VLOOKUP($J27,デザイン!$A$2:$C$5,2,FALSE))</f>
        <v/>
      </c>
      <c r="L27" s="4" t="str">
        <f>IF($J27="","",VLOOKUP($J27,デザイン!$A$2:$C$5,3,FALSE))</f>
        <v/>
      </c>
      <c r="M27" s="13"/>
      <c r="N27" s="4" t="str">
        <f>IF($M27="","",VLOOKUP($M27,プリント色!$A$2:$C$10,2,FALSE))</f>
        <v/>
      </c>
      <c r="O27" s="4" t="str">
        <f t="shared" si="1"/>
        <v/>
      </c>
      <c r="P27" s="21" t="str">
        <f t="shared" si="2"/>
        <v/>
      </c>
      <c r="Q27" s="91" t="str">
        <f t="shared" si="3"/>
        <v/>
      </c>
      <c r="R27" s="92" t="str">
        <f t="shared" si="0"/>
        <v/>
      </c>
      <c r="S27" s="15"/>
      <c r="T27" s="15"/>
      <c r="U27" s="84" t="str">
        <f t="shared" si="4"/>
        <v/>
      </c>
      <c r="V27" s="1"/>
      <c r="W27" s="1"/>
      <c r="X27" s="15"/>
    </row>
    <row r="28" spans="1:24" ht="17.100000000000001" customHeight="1" x14ac:dyDescent="0.15">
      <c r="A28" s="14"/>
      <c r="B28" s="7"/>
      <c r="C28" s="24" t="str">
        <f>IF($B28="","",VLOOKUP($B28,ウェアタイプ!$A$2:$C$4,2,FALSE))</f>
        <v/>
      </c>
      <c r="D28" s="5" t="str">
        <f>IF($B28="","",VLOOKUP($B28,ウェアタイプ!$A$2:$C$4,3,FALSE))</f>
        <v/>
      </c>
      <c r="E28" s="13"/>
      <c r="F28" s="5" t="str">
        <f>IF($E28="","",VLOOKUP($E28,ポロカラー!$A$2:$B$29,2,FALSE))</f>
        <v/>
      </c>
      <c r="G28" s="13"/>
      <c r="H28" s="5" t="str">
        <f>IF($G28="","",VLOOKUP($G28,サイズ!$A$2:$C$13,2,FALSE))</f>
        <v/>
      </c>
      <c r="I28" s="5" t="str">
        <f>IF($G28="","",VLOOKUP($G28,サイズ!$A$2:$C$13,3,FALSE))</f>
        <v/>
      </c>
      <c r="J28" s="7"/>
      <c r="K28" s="24" t="str">
        <f>IF($J28="","",VLOOKUP($J28,デザイン!$A$2:$C$5,2,FALSE))</f>
        <v/>
      </c>
      <c r="L28" s="4" t="str">
        <f>IF($J28="","",VLOOKUP($J28,デザイン!$A$2:$C$5,3,FALSE))</f>
        <v/>
      </c>
      <c r="M28" s="13"/>
      <c r="N28" s="4" t="str">
        <f>IF($M28="","",VLOOKUP($M28,プリント色!$A$2:$C$10,2,FALSE))</f>
        <v/>
      </c>
      <c r="O28" s="4" t="str">
        <f t="shared" si="1"/>
        <v/>
      </c>
      <c r="P28" s="21" t="str">
        <f t="shared" si="2"/>
        <v/>
      </c>
      <c r="Q28" s="91" t="str">
        <f t="shared" si="3"/>
        <v/>
      </c>
      <c r="R28" s="92" t="str">
        <f t="shared" si="0"/>
        <v/>
      </c>
      <c r="S28" s="15"/>
      <c r="T28" s="15"/>
      <c r="U28" s="84" t="str">
        <f t="shared" si="4"/>
        <v/>
      </c>
      <c r="V28" s="1"/>
      <c r="W28" s="1"/>
      <c r="X28" s="15"/>
    </row>
    <row r="29" spans="1:24" ht="17.100000000000001" customHeight="1" x14ac:dyDescent="0.15">
      <c r="A29" s="14"/>
      <c r="B29" s="7"/>
      <c r="C29" s="24" t="str">
        <f>IF($B29="","",VLOOKUP($B29,ウェアタイプ!$A$2:$C$4,2,FALSE))</f>
        <v/>
      </c>
      <c r="D29" s="5" t="str">
        <f>IF($B29="","",VLOOKUP($B29,ウェアタイプ!$A$2:$C$4,3,FALSE))</f>
        <v/>
      </c>
      <c r="E29" s="13"/>
      <c r="F29" s="5" t="str">
        <f>IF($E29="","",VLOOKUP($E29,ポロカラー!$A$2:$B$29,2,FALSE))</f>
        <v/>
      </c>
      <c r="G29" s="13"/>
      <c r="H29" s="5" t="str">
        <f>IF($G29="","",VLOOKUP($G29,サイズ!$A$2:$C$13,2,FALSE))</f>
        <v/>
      </c>
      <c r="I29" s="5" t="str">
        <f>IF($G29="","",VLOOKUP($G29,サイズ!$A$2:$C$13,3,FALSE))</f>
        <v/>
      </c>
      <c r="J29" s="7"/>
      <c r="K29" s="24" t="str">
        <f>IF($J29="","",VLOOKUP($J29,デザイン!$A$2:$C$5,2,FALSE))</f>
        <v/>
      </c>
      <c r="L29" s="4" t="str">
        <f>IF($J29="","",VLOOKUP($J29,デザイン!$A$2:$C$5,3,FALSE))</f>
        <v/>
      </c>
      <c r="M29" s="13"/>
      <c r="N29" s="4" t="str">
        <f>IF($M29="","",VLOOKUP($M29,プリント色!$A$2:$C$10,2,FALSE))</f>
        <v/>
      </c>
      <c r="O29" s="4" t="str">
        <f t="shared" si="1"/>
        <v/>
      </c>
      <c r="P29" s="21" t="str">
        <f t="shared" si="2"/>
        <v/>
      </c>
      <c r="Q29" s="91" t="str">
        <f t="shared" si="3"/>
        <v/>
      </c>
      <c r="R29" s="92" t="str">
        <f t="shared" si="0"/>
        <v/>
      </c>
      <c r="S29" s="15"/>
      <c r="T29" s="15"/>
      <c r="U29" s="84" t="str">
        <f t="shared" si="4"/>
        <v/>
      </c>
      <c r="V29" s="1"/>
      <c r="W29" s="1"/>
      <c r="X29" s="15"/>
    </row>
    <row r="30" spans="1:24" ht="17.100000000000001" customHeight="1" x14ac:dyDescent="0.15">
      <c r="A30" s="14"/>
      <c r="B30" s="7"/>
      <c r="C30" s="24" t="str">
        <f>IF($B30="","",VLOOKUP($B30,ウェアタイプ!$A$2:$C$4,2,FALSE))</f>
        <v/>
      </c>
      <c r="D30" s="5" t="str">
        <f>IF($B30="","",VLOOKUP($B30,ウェアタイプ!$A$2:$C$4,3,FALSE))</f>
        <v/>
      </c>
      <c r="E30" s="13"/>
      <c r="F30" s="5" t="str">
        <f>IF($E30="","",VLOOKUP($E30,ポロカラー!$A$2:$B$29,2,FALSE))</f>
        <v/>
      </c>
      <c r="G30" s="13"/>
      <c r="H30" s="5" t="str">
        <f>IF($G30="","",VLOOKUP($G30,サイズ!$A$2:$C$13,2,FALSE))</f>
        <v/>
      </c>
      <c r="I30" s="5" t="str">
        <f>IF($G30="","",VLOOKUP($G30,サイズ!$A$2:$C$13,3,FALSE))</f>
        <v/>
      </c>
      <c r="J30" s="7"/>
      <c r="K30" s="24" t="str">
        <f>IF($J30="","",VLOOKUP($J30,デザイン!$A$2:$C$5,2,FALSE))</f>
        <v/>
      </c>
      <c r="L30" s="4" t="str">
        <f>IF($J30="","",VLOOKUP($J30,デザイン!$A$2:$C$5,3,FALSE))</f>
        <v/>
      </c>
      <c r="M30" s="13"/>
      <c r="N30" s="4" t="str">
        <f>IF($M30="","",VLOOKUP($M30,プリント色!$A$2:$C$10,2,FALSE))</f>
        <v/>
      </c>
      <c r="O30" s="4" t="str">
        <f t="shared" si="1"/>
        <v/>
      </c>
      <c r="P30" s="21" t="str">
        <f t="shared" si="2"/>
        <v/>
      </c>
      <c r="Q30" s="91" t="str">
        <f t="shared" si="3"/>
        <v/>
      </c>
      <c r="R30" s="92" t="str">
        <f t="shared" si="0"/>
        <v/>
      </c>
      <c r="S30" s="15"/>
      <c r="T30" s="15"/>
      <c r="U30" s="84" t="str">
        <f t="shared" si="4"/>
        <v/>
      </c>
      <c r="V30" s="1"/>
      <c r="W30" s="1"/>
      <c r="X30" s="15"/>
    </row>
    <row r="31" spans="1:24" ht="17.100000000000001" customHeight="1" x14ac:dyDescent="0.15">
      <c r="A31" s="14"/>
      <c r="B31" s="7"/>
      <c r="C31" s="24" t="str">
        <f>IF($B31="","",VLOOKUP($B31,ウェアタイプ!$A$2:$C$4,2,FALSE))</f>
        <v/>
      </c>
      <c r="D31" s="5" t="str">
        <f>IF($B31="","",VLOOKUP($B31,ウェアタイプ!$A$2:$C$4,3,FALSE))</f>
        <v/>
      </c>
      <c r="E31" s="13"/>
      <c r="F31" s="5" t="str">
        <f>IF($E31="","",VLOOKUP($E31,ポロカラー!$A$2:$B$29,2,FALSE))</f>
        <v/>
      </c>
      <c r="G31" s="13"/>
      <c r="H31" s="5" t="str">
        <f>IF($G31="","",VLOOKUP($G31,サイズ!$A$2:$C$13,2,FALSE))</f>
        <v/>
      </c>
      <c r="I31" s="5" t="str">
        <f>IF($G31="","",VLOOKUP($G31,サイズ!$A$2:$C$13,3,FALSE))</f>
        <v/>
      </c>
      <c r="J31" s="56"/>
      <c r="K31" s="24" t="str">
        <f>IF($J31="","",VLOOKUP($J31,デザイン!$A$2:$C$5,2,FALSE))</f>
        <v/>
      </c>
      <c r="L31" s="4" t="str">
        <f>IF($J31="","",VLOOKUP($J31,デザイン!$A$2:$C$5,3,FALSE))</f>
        <v/>
      </c>
      <c r="M31" s="13"/>
      <c r="N31" s="4" t="str">
        <f>IF($M31="","",VLOOKUP($M31,プリント色!$A$2:$C$10,2,FALSE))</f>
        <v/>
      </c>
      <c r="O31" s="4" t="str">
        <f t="shared" si="1"/>
        <v/>
      </c>
      <c r="P31" s="21" t="str">
        <f t="shared" si="2"/>
        <v/>
      </c>
      <c r="Q31" s="91" t="str">
        <f t="shared" si="3"/>
        <v/>
      </c>
      <c r="R31" s="92" t="str">
        <f t="shared" si="0"/>
        <v/>
      </c>
      <c r="S31" s="15"/>
      <c r="T31" s="15"/>
      <c r="U31" s="84" t="str">
        <f t="shared" si="4"/>
        <v/>
      </c>
      <c r="V31" s="1"/>
      <c r="W31" s="1"/>
      <c r="X31" s="15"/>
    </row>
    <row r="32" spans="1:24" ht="17.100000000000001" customHeight="1" x14ac:dyDescent="0.15">
      <c r="A32" s="14"/>
      <c r="B32" s="7"/>
      <c r="C32" s="24" t="str">
        <f>IF($B32="","",VLOOKUP($B32,ウェアタイプ!$A$2:$C$4,2,FALSE))</f>
        <v/>
      </c>
      <c r="D32" s="5" t="str">
        <f>IF($B32="","",VLOOKUP($B32,ウェアタイプ!$A$2:$C$4,3,FALSE))</f>
        <v/>
      </c>
      <c r="E32" s="13"/>
      <c r="F32" s="5" t="str">
        <f>IF($E32="","",VLOOKUP($E32,ポロカラー!$A$2:$B$29,2,FALSE))</f>
        <v/>
      </c>
      <c r="G32" s="13"/>
      <c r="H32" s="5" t="str">
        <f>IF($G32="","",VLOOKUP($G32,サイズ!$A$2:$C$13,2,FALSE))</f>
        <v/>
      </c>
      <c r="I32" s="5" t="str">
        <f>IF($G32="","",VLOOKUP($G32,サイズ!$A$2:$C$13,3,FALSE))</f>
        <v/>
      </c>
      <c r="J32" s="7"/>
      <c r="K32" s="24" t="str">
        <f>IF($J32="","",VLOOKUP($J32,デザイン!$A$2:$C$5,2,FALSE))</f>
        <v/>
      </c>
      <c r="L32" s="4" t="str">
        <f>IF($J32="","",VLOOKUP($J32,デザイン!$A$2:$C$5,3,FALSE))</f>
        <v/>
      </c>
      <c r="M32" s="13"/>
      <c r="N32" s="4" t="str">
        <f>IF($M32="","",VLOOKUP($M32,プリント色!$A$2:$C$10,2,FALSE))</f>
        <v/>
      </c>
      <c r="O32" s="4" t="str">
        <f t="shared" si="1"/>
        <v/>
      </c>
      <c r="P32" s="21" t="str">
        <f t="shared" si="2"/>
        <v/>
      </c>
      <c r="Q32" s="91" t="str">
        <f t="shared" si="3"/>
        <v/>
      </c>
      <c r="R32" s="92" t="str">
        <f t="shared" ref="R32:R36" si="5">IF(Q32="","",((I32+L32+O32+P32)*Q32))</f>
        <v/>
      </c>
      <c r="S32" s="15"/>
      <c r="T32" s="15"/>
      <c r="U32" s="84" t="str">
        <f t="shared" si="4"/>
        <v/>
      </c>
      <c r="V32" s="1"/>
      <c r="W32" s="1"/>
      <c r="X32" s="15"/>
    </row>
    <row r="33" spans="1:24" ht="17.100000000000001" customHeight="1" x14ac:dyDescent="0.15">
      <c r="A33" s="14"/>
      <c r="B33" s="7"/>
      <c r="C33" s="24" t="str">
        <f>IF($B33="","",VLOOKUP($B33,ウェアタイプ!$A$2:$C$4,2,FALSE))</f>
        <v/>
      </c>
      <c r="D33" s="5" t="str">
        <f>IF($B33="","",VLOOKUP($B33,ウェアタイプ!$A$2:$C$4,3,FALSE))</f>
        <v/>
      </c>
      <c r="E33" s="13"/>
      <c r="F33" s="5" t="str">
        <f>IF($E33="","",VLOOKUP($E33,ポロカラー!$A$2:$B$29,2,FALSE))</f>
        <v/>
      </c>
      <c r="G33" s="13"/>
      <c r="H33" s="5" t="str">
        <f>IF($G33="","",VLOOKUP($G33,サイズ!$A$2:$C$13,2,FALSE))</f>
        <v/>
      </c>
      <c r="I33" s="5" t="str">
        <f>IF($G33="","",VLOOKUP($G33,サイズ!$A$2:$C$13,3,FALSE))</f>
        <v/>
      </c>
      <c r="J33" s="7"/>
      <c r="K33" s="24" t="str">
        <f>IF($J33="","",VLOOKUP($J33,デザイン!$A$2:$C$5,2,FALSE))</f>
        <v/>
      </c>
      <c r="L33" s="4" t="str">
        <f>IF($J33="","",VLOOKUP($J33,デザイン!$A$2:$C$5,3,FALSE))</f>
        <v/>
      </c>
      <c r="M33" s="13"/>
      <c r="N33" s="4" t="str">
        <f>IF($M33="","",VLOOKUP($M33,プリント色!$A$2:$C$10,2,FALSE))</f>
        <v/>
      </c>
      <c r="O33" s="4" t="str">
        <f t="shared" si="1"/>
        <v/>
      </c>
      <c r="P33" s="21" t="str">
        <f t="shared" si="2"/>
        <v/>
      </c>
      <c r="Q33" s="91" t="str">
        <f t="shared" si="3"/>
        <v/>
      </c>
      <c r="R33" s="92" t="str">
        <f t="shared" si="5"/>
        <v/>
      </c>
      <c r="S33" s="15"/>
      <c r="T33" s="15"/>
      <c r="U33" s="84" t="str">
        <f t="shared" si="4"/>
        <v/>
      </c>
      <c r="V33" s="1"/>
      <c r="W33" s="1"/>
      <c r="X33" s="15"/>
    </row>
    <row r="34" spans="1:24" ht="17.100000000000001" customHeight="1" x14ac:dyDescent="0.15">
      <c r="A34" s="14"/>
      <c r="B34" s="7"/>
      <c r="C34" s="24" t="str">
        <f>IF($B34="","",VLOOKUP($B34,ウェアタイプ!$A$2:$C$4,2,FALSE))</f>
        <v/>
      </c>
      <c r="D34" s="5" t="str">
        <f>IF($B34="","",VLOOKUP($B34,ウェアタイプ!$A$2:$C$4,3,FALSE))</f>
        <v/>
      </c>
      <c r="E34" s="13"/>
      <c r="F34" s="5" t="str">
        <f>IF($E34="","",VLOOKUP($E34,ポロカラー!$A$2:$B$29,2,FALSE))</f>
        <v/>
      </c>
      <c r="G34" s="13"/>
      <c r="H34" s="5" t="str">
        <f>IF($G34="","",VLOOKUP($G34,サイズ!$A$2:$C$13,2,FALSE))</f>
        <v/>
      </c>
      <c r="I34" s="5" t="str">
        <f>IF($G34="","",VLOOKUP($G34,サイズ!$A$2:$C$13,3,FALSE))</f>
        <v/>
      </c>
      <c r="J34" s="7"/>
      <c r="K34" s="24" t="str">
        <f>IF($J34="","",VLOOKUP($J34,デザイン!$A$2:$C$5,2,FALSE))</f>
        <v/>
      </c>
      <c r="L34" s="4" t="str">
        <f>IF($J34="","",VLOOKUP($J34,デザイン!$A$2:$C$5,3,FALSE))</f>
        <v/>
      </c>
      <c r="M34" s="13"/>
      <c r="N34" s="4" t="str">
        <f>IF($M34="","",VLOOKUP($M34,プリント色!$A$2:$C$10,2,FALSE))</f>
        <v/>
      </c>
      <c r="O34" s="4" t="str">
        <f t="shared" si="1"/>
        <v/>
      </c>
      <c r="P34" s="21" t="str">
        <f t="shared" si="2"/>
        <v/>
      </c>
      <c r="Q34" s="91" t="str">
        <f t="shared" si="3"/>
        <v/>
      </c>
      <c r="R34" s="92" t="str">
        <f t="shared" si="5"/>
        <v/>
      </c>
      <c r="S34" s="15"/>
      <c r="T34" s="15"/>
      <c r="U34" s="84" t="str">
        <f t="shared" si="4"/>
        <v/>
      </c>
      <c r="V34" s="1"/>
      <c r="W34" s="1"/>
      <c r="X34" s="15"/>
    </row>
    <row r="35" spans="1:24" ht="17.100000000000001" customHeight="1" x14ac:dyDescent="0.15">
      <c r="A35" s="14"/>
      <c r="B35" s="7"/>
      <c r="C35" s="24" t="str">
        <f>IF($B35="","",VLOOKUP($B35,ウェアタイプ!$A$2:$C$4,2,FALSE))</f>
        <v/>
      </c>
      <c r="D35" s="5" t="str">
        <f>IF($B35="","",VLOOKUP($B35,ウェアタイプ!$A$2:$C$4,3,FALSE))</f>
        <v/>
      </c>
      <c r="E35" s="13"/>
      <c r="F35" s="5" t="str">
        <f>IF($E35="","",VLOOKUP($E35,ポロカラー!$A$2:$B$29,2,FALSE))</f>
        <v/>
      </c>
      <c r="G35" s="13"/>
      <c r="H35" s="5" t="str">
        <f>IF($G35="","",VLOOKUP($G35,サイズ!$A$2:$C$13,2,FALSE))</f>
        <v/>
      </c>
      <c r="I35" s="5" t="str">
        <f>IF($G35="","",VLOOKUP($G35,サイズ!$A$2:$C$13,3,FALSE))</f>
        <v/>
      </c>
      <c r="J35" s="7"/>
      <c r="K35" s="24" t="str">
        <f>IF($J35="","",VLOOKUP($J35,デザイン!$A$2:$C$5,2,FALSE))</f>
        <v/>
      </c>
      <c r="L35" s="4" t="str">
        <f>IF($J35="","",VLOOKUP($J35,デザイン!$A$2:$C$5,3,FALSE))</f>
        <v/>
      </c>
      <c r="M35" s="13"/>
      <c r="N35" s="4" t="str">
        <f>IF($M35="","",VLOOKUP($M35,プリント色!$A$2:$C$10,2,FALSE))</f>
        <v/>
      </c>
      <c r="O35" s="4" t="str">
        <f t="shared" si="1"/>
        <v/>
      </c>
      <c r="P35" s="21" t="str">
        <f t="shared" si="2"/>
        <v/>
      </c>
      <c r="Q35" s="91" t="str">
        <f t="shared" si="3"/>
        <v/>
      </c>
      <c r="R35" s="92" t="str">
        <f t="shared" si="5"/>
        <v/>
      </c>
      <c r="S35" s="15"/>
      <c r="T35" s="15"/>
      <c r="U35" s="84" t="str">
        <f t="shared" si="4"/>
        <v/>
      </c>
      <c r="V35" s="1"/>
      <c r="W35" s="1"/>
      <c r="X35" s="15"/>
    </row>
    <row r="36" spans="1:24" ht="17.100000000000001" customHeight="1" x14ac:dyDescent="0.15">
      <c r="A36" s="14"/>
      <c r="B36" s="7"/>
      <c r="C36" s="24" t="str">
        <f>IF($B36="","",VLOOKUP($B36,ウェアタイプ!$A$2:$C$4,2,FALSE))</f>
        <v/>
      </c>
      <c r="D36" s="5" t="str">
        <f>IF($B36="","",VLOOKUP($B36,ウェアタイプ!$A$2:$C$4,3,FALSE))</f>
        <v/>
      </c>
      <c r="E36" s="13"/>
      <c r="F36" s="5" t="str">
        <f>IF($E36="","",VLOOKUP($E36,ポロカラー!$A$2:$B$29,2,FALSE))</f>
        <v/>
      </c>
      <c r="G36" s="13"/>
      <c r="H36" s="5" t="str">
        <f>IF($G36="","",VLOOKUP($G36,サイズ!$A$2:$C$13,2,FALSE))</f>
        <v/>
      </c>
      <c r="I36" s="5" t="str">
        <f>IF($G36="","",VLOOKUP($G36,サイズ!$A$2:$C$13,3,FALSE))</f>
        <v/>
      </c>
      <c r="J36" s="7"/>
      <c r="K36" s="24" t="str">
        <f>IF($J36="","",VLOOKUP($J36,デザイン!$A$2:$C$5,2,FALSE))</f>
        <v/>
      </c>
      <c r="L36" s="4" t="str">
        <f>IF($J36="","",VLOOKUP($J36,デザイン!$A$2:$C$5,3,FALSE))</f>
        <v/>
      </c>
      <c r="M36" s="13"/>
      <c r="N36" s="4" t="str">
        <f>IF($M36="","",VLOOKUP($M36,プリント色!$A$2:$C$10,2,FALSE))</f>
        <v/>
      </c>
      <c r="O36" s="4" t="str">
        <f t="shared" si="1"/>
        <v/>
      </c>
      <c r="P36" s="21" t="str">
        <f t="shared" si="2"/>
        <v/>
      </c>
      <c r="Q36" s="91" t="str">
        <f t="shared" si="3"/>
        <v/>
      </c>
      <c r="R36" s="92" t="str">
        <f t="shared" si="5"/>
        <v/>
      </c>
      <c r="S36" s="15"/>
      <c r="T36" s="15"/>
      <c r="U36" s="84" t="str">
        <f t="shared" si="4"/>
        <v/>
      </c>
      <c r="V36" s="1"/>
      <c r="W36" s="1"/>
      <c r="X36" s="15"/>
    </row>
    <row r="37" spans="1:24" x14ac:dyDescent="0.15">
      <c r="K37" s="3"/>
      <c r="L37" s="3"/>
    </row>
    <row r="38" spans="1:24" x14ac:dyDescent="0.15">
      <c r="K38" s="3"/>
      <c r="L38" s="3"/>
    </row>
  </sheetData>
  <sheetProtection algorithmName="SHA-512" hashValue="MsM4opwVOt5EUD65spkRQdtGtLlKBuj0J/BVAdcSdoMlrL6BA8XM4adl8DIpdCK9uv0fAYsih1jWkiVipjW3wg==" saltValue="QP3NQCuExtQD2PWZZAa0Hw==" spinCount="100000" sheet="1" selectLockedCells="1"/>
  <sortState ref="A9:X31">
    <sortCondition ref="D9:D31"/>
    <sortCondition ref="F9:F31"/>
    <sortCondition ref="H9:H31"/>
    <sortCondition ref="J9:J31"/>
  </sortState>
  <mergeCells count="11">
    <mergeCell ref="A6:M6"/>
    <mergeCell ref="S6:W6"/>
    <mergeCell ref="V7:X7"/>
    <mergeCell ref="A1:J1"/>
    <mergeCell ref="A2:M2"/>
    <mergeCell ref="A3:M3"/>
    <mergeCell ref="A4:M4"/>
    <mergeCell ref="A5:M5"/>
    <mergeCell ref="Q1:X3"/>
    <mergeCell ref="S4:U5"/>
    <mergeCell ref="V4:X5"/>
  </mergeCells>
  <phoneticPr fontId="11"/>
  <conditionalFormatting sqref="P9:P36">
    <cfRule type="containsText" dxfId="0" priority="2" stopIfTrue="1" operator="containsText" text="左胸色選択">
      <formula>NOT(ISERROR(SEARCH("左胸色選択",P9)))</formula>
    </cfRule>
  </conditionalFormatting>
  <dataValidations count="4">
    <dataValidation type="list" allowBlank="1" showInputMessage="1" showErrorMessage="1" sqref="J10:J36">
      <formula1>デザイン</formula1>
    </dataValidation>
    <dataValidation type="list" allowBlank="1" showInputMessage="1" showErrorMessage="1" sqref="G9:G36">
      <formula1>サイズ</formula1>
    </dataValidation>
    <dataValidation type="list" allowBlank="1" showInputMessage="1" showErrorMessage="1" sqref="E9:E36">
      <formula1>ポロカラー</formula1>
    </dataValidation>
    <dataValidation type="list" allowBlank="1" showInputMessage="1" showErrorMessage="1" sqref="B9:B36">
      <formula1>ウェア番号</formula1>
    </dataValidation>
  </dataValidations>
  <pageMargins left="0.39370078740157483" right="0" top="0.39370078740157483" bottom="0.19685039370078741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デザイン!$A$2:$A$4</xm:f>
          </x14:formula1>
          <xm:sqref>J9</xm:sqref>
        </x14:dataValidation>
        <x14:dataValidation type="list" allowBlank="1" showInputMessage="1" showErrorMessage="1">
          <x14:formula1>
            <xm:f>プリント色!$A$2:$A$10</xm:f>
          </x14:formula1>
          <xm:sqref>M9:M36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31"/>
  <sheetViews>
    <sheetView workbookViewId="0">
      <selection activeCell="A10" sqref="A10"/>
    </sheetView>
  </sheetViews>
  <sheetFormatPr defaultRowHeight="13.5" x14ac:dyDescent="0.15"/>
  <cols>
    <col min="1" max="1" width="19.625" style="27" customWidth="1"/>
    <col min="2" max="2" width="4.875" style="27" customWidth="1"/>
    <col min="3" max="3" width="3.75" style="27" customWidth="1"/>
    <col min="4" max="4" width="19.875" style="27" customWidth="1"/>
    <col min="5" max="5" width="5.25" style="27" customWidth="1"/>
    <col min="6" max="6" width="4.125" style="27" customWidth="1"/>
    <col min="7" max="7" width="0" style="27" hidden="1" customWidth="1"/>
    <col min="8" max="8" width="12.5" style="27" customWidth="1"/>
    <col min="9" max="9" width="5.125" style="27" customWidth="1"/>
    <col min="10" max="10" width="6" style="27" hidden="1" customWidth="1"/>
    <col min="11" max="11" width="4.125" style="27" customWidth="1"/>
    <col min="12" max="12" width="27.75" style="27" customWidth="1"/>
    <col min="13" max="13" width="4.625" style="27" customWidth="1"/>
    <col min="14" max="14" width="3.5" style="27" customWidth="1"/>
    <col min="15" max="15" width="18.25" style="27" customWidth="1"/>
    <col min="16" max="16" width="5.375" style="27" customWidth="1"/>
    <col min="17" max="17" width="8" style="27" hidden="1" customWidth="1"/>
    <col min="18" max="18" width="3.25" style="27" customWidth="1"/>
    <col min="19" max="19" width="8.75" style="27" customWidth="1"/>
    <col min="20" max="16384" width="9" style="27"/>
  </cols>
  <sheetData>
    <row r="1" spans="1:17" ht="14.25" customHeight="1" thickBot="1" x14ac:dyDescent="0.2">
      <c r="A1" s="44" t="s">
        <v>105</v>
      </c>
      <c r="B1" s="43"/>
      <c r="D1" s="44" t="s">
        <v>104</v>
      </c>
      <c r="E1" s="43"/>
      <c r="H1" s="44" t="s">
        <v>103</v>
      </c>
      <c r="I1" s="43"/>
      <c r="J1" s="27" t="s">
        <v>23</v>
      </c>
      <c r="L1" s="44" t="s">
        <v>102</v>
      </c>
      <c r="M1" s="43"/>
      <c r="O1" s="44" t="s">
        <v>18</v>
      </c>
      <c r="P1" s="43"/>
      <c r="Q1" s="27" t="s">
        <v>19</v>
      </c>
    </row>
    <row r="2" spans="1:17" ht="14.25" customHeight="1" thickTop="1" x14ac:dyDescent="0.15">
      <c r="A2" s="41" t="s">
        <v>101</v>
      </c>
      <c r="B2" s="42">
        <f>COUNTIF(注文表!$B$9:$B$36,"1")</f>
        <v>0</v>
      </c>
      <c r="D2" s="41" t="s">
        <v>2</v>
      </c>
      <c r="E2" s="40">
        <f>COUNTIF(注文表!$F$9:$F$36,"1")</f>
        <v>0</v>
      </c>
      <c r="G2" s="27">
        <v>1</v>
      </c>
      <c r="H2" s="41" t="s">
        <v>100</v>
      </c>
      <c r="I2" s="40">
        <f>COUNTIF(注文表!$H$9:$H$36,"1")</f>
        <v>0</v>
      </c>
      <c r="J2" s="27">
        <v>1</v>
      </c>
      <c r="L2" s="45" t="s">
        <v>115</v>
      </c>
      <c r="M2" s="40">
        <f>COUNTIF(注文表!$J$9:$J$36,"A")</f>
        <v>0</v>
      </c>
      <c r="O2" s="67" t="s">
        <v>120</v>
      </c>
      <c r="P2" s="40">
        <f>COUNTIF(注文表!$N$9:$N$36,"0")</f>
        <v>0</v>
      </c>
      <c r="Q2" s="27">
        <v>1</v>
      </c>
    </row>
    <row r="3" spans="1:17" ht="14.25" customHeight="1" x14ac:dyDescent="0.15">
      <c r="A3" s="33" t="s">
        <v>41</v>
      </c>
      <c r="B3" s="39">
        <f>COUNTIF(注文表!$B$9:$B$36,"2")</f>
        <v>0</v>
      </c>
      <c r="D3" s="33" t="s">
        <v>99</v>
      </c>
      <c r="E3" s="32">
        <f>COUNTIF(注文表!$F$9:$F$36,"2")</f>
        <v>0</v>
      </c>
      <c r="G3" s="27">
        <v>2</v>
      </c>
      <c r="H3" s="33" t="s">
        <v>98</v>
      </c>
      <c r="I3" s="32">
        <f>COUNTIF(注文表!$H$9:$H$36,"2")</f>
        <v>0</v>
      </c>
      <c r="J3" s="27">
        <v>2</v>
      </c>
      <c r="L3" s="46" t="s">
        <v>116</v>
      </c>
      <c r="M3" s="32">
        <f>COUNTIF(注文表!$J$9:$J$36,"B")</f>
        <v>0</v>
      </c>
      <c r="O3" s="45" t="s">
        <v>121</v>
      </c>
      <c r="P3" s="40">
        <f>COUNTIF(注文表!$N$9:$N$36,"1")</f>
        <v>0</v>
      </c>
      <c r="Q3" s="27">
        <v>2</v>
      </c>
    </row>
    <row r="4" spans="1:17" ht="14.25" customHeight="1" thickBot="1" x14ac:dyDescent="0.2">
      <c r="A4" s="31" t="s">
        <v>97</v>
      </c>
      <c r="B4" s="38">
        <f>COUNTIF(注文表!$B$9:$B$36,"3")</f>
        <v>0</v>
      </c>
      <c r="D4" s="33" t="s">
        <v>96</v>
      </c>
      <c r="E4" s="32">
        <f>COUNTIF(注文表!$F$9:$F$36,"5")</f>
        <v>0</v>
      </c>
      <c r="G4" s="27">
        <v>5</v>
      </c>
      <c r="H4" s="33" t="s">
        <v>95</v>
      </c>
      <c r="I4" s="32">
        <f>COUNTIF(注文表!$H$9:$H$36,"3")</f>
        <v>0</v>
      </c>
      <c r="J4" s="27">
        <v>3</v>
      </c>
      <c r="L4" s="50" t="s">
        <v>117</v>
      </c>
      <c r="M4" s="51">
        <f>COUNTIF(注文表!$J$9:$J$36,"C")</f>
        <v>0</v>
      </c>
      <c r="O4" s="46" t="s">
        <v>122</v>
      </c>
      <c r="P4" s="32">
        <f>COUNTIF(注文表!$N$9:$N$36,"2")</f>
        <v>0</v>
      </c>
      <c r="Q4" s="27">
        <v>3</v>
      </c>
    </row>
    <row r="5" spans="1:17" ht="14.25" customHeight="1" thickBot="1" x14ac:dyDescent="0.2">
      <c r="D5" s="33" t="s">
        <v>5</v>
      </c>
      <c r="E5" s="32">
        <f>COUNTIF(注文表!$F$9:$F$36,"10")</f>
        <v>0</v>
      </c>
      <c r="G5" s="27">
        <v>10</v>
      </c>
      <c r="H5" s="33" t="s">
        <v>94</v>
      </c>
      <c r="I5" s="32">
        <f>COUNTIF(注文表!$H$9:$H$36,"4")</f>
        <v>0</v>
      </c>
      <c r="J5" s="27">
        <v>4</v>
      </c>
      <c r="L5" s="52"/>
      <c r="M5" s="53"/>
      <c r="O5" s="46" t="s">
        <v>123</v>
      </c>
      <c r="P5" s="32">
        <f>COUNTIF(注文表!$N$9:$N$36,"3")</f>
        <v>0</v>
      </c>
      <c r="Q5" s="27">
        <v>4</v>
      </c>
    </row>
    <row r="6" spans="1:17" ht="14.25" customHeight="1" thickBot="1" x14ac:dyDescent="0.2">
      <c r="A6" s="35" t="s">
        <v>82</v>
      </c>
      <c r="B6" s="34">
        <f>SUM(B2:B4)</f>
        <v>0</v>
      </c>
      <c r="D6" s="33" t="s">
        <v>6</v>
      </c>
      <c r="E6" s="32">
        <f>COUNTIF(注文表!$F$9:$F$36,"14")</f>
        <v>0</v>
      </c>
      <c r="G6" s="27">
        <v>14</v>
      </c>
      <c r="H6" s="33" t="s">
        <v>78</v>
      </c>
      <c r="I6" s="32">
        <f>COUNTIF(注文表!$H$9:$H$36,"5")</f>
        <v>0</v>
      </c>
      <c r="J6" s="27">
        <v>5</v>
      </c>
      <c r="O6" s="46" t="s">
        <v>124</v>
      </c>
      <c r="P6" s="32">
        <f>COUNTIF(注文表!$N$9:$N$36,"4")</f>
        <v>0</v>
      </c>
      <c r="Q6" s="27">
        <v>5</v>
      </c>
    </row>
    <row r="7" spans="1:17" ht="14.25" customHeight="1" thickBot="1" x14ac:dyDescent="0.2">
      <c r="D7" s="33" t="s">
        <v>93</v>
      </c>
      <c r="E7" s="32">
        <f>COUNTIF(注文表!$F$9:$F$36,"15")</f>
        <v>0</v>
      </c>
      <c r="G7" s="27">
        <v>15</v>
      </c>
      <c r="H7" s="33" t="s">
        <v>92</v>
      </c>
      <c r="I7" s="32">
        <f>COUNTIF(注文表!$H$9:$H$36,"6")</f>
        <v>0</v>
      </c>
      <c r="J7" s="27">
        <v>6</v>
      </c>
      <c r="L7" s="35" t="s">
        <v>82</v>
      </c>
      <c r="M7" s="34">
        <f>SUM(M2:M4)</f>
        <v>0</v>
      </c>
      <c r="O7" s="46" t="s">
        <v>125</v>
      </c>
      <c r="P7" s="32">
        <f>COUNTIF(注文表!$N$9:$N$36,"5")</f>
        <v>0</v>
      </c>
      <c r="Q7" s="27">
        <v>6</v>
      </c>
    </row>
    <row r="8" spans="1:17" ht="14.25" customHeight="1" thickBot="1" x14ac:dyDescent="0.2">
      <c r="D8" s="33" t="s">
        <v>8</v>
      </c>
      <c r="E8" s="32">
        <f>COUNTIF(注文表!$F$9:$F$36,"25")</f>
        <v>0</v>
      </c>
      <c r="G8" s="27">
        <v>25</v>
      </c>
      <c r="H8" s="33" t="s">
        <v>81</v>
      </c>
      <c r="I8" s="32">
        <f>COUNTIF(注文表!$H$9:$H$36,"7")</f>
        <v>0</v>
      </c>
      <c r="J8" s="27">
        <v>7</v>
      </c>
      <c r="O8" s="46" t="s">
        <v>126</v>
      </c>
      <c r="P8" s="32">
        <f>COUNTIF(注文表!$N$9:$N$36,"6")</f>
        <v>0</v>
      </c>
      <c r="Q8" s="27">
        <v>7</v>
      </c>
    </row>
    <row r="9" spans="1:17" ht="14.25" thickBot="1" x14ac:dyDescent="0.2">
      <c r="A9" s="37" t="s">
        <v>91</v>
      </c>
      <c r="D9" s="33" t="s">
        <v>9</v>
      </c>
      <c r="E9" s="32">
        <f>COUNTIF(注文表!$F$9:$F$36,"26")</f>
        <v>0</v>
      </c>
      <c r="G9" s="27">
        <v>26</v>
      </c>
      <c r="H9" s="33" t="s">
        <v>80</v>
      </c>
      <c r="I9" s="32">
        <f>COUNTIF(注文表!$H$9:$H$36,"8")</f>
        <v>0</v>
      </c>
      <c r="J9" s="27">
        <v>8</v>
      </c>
      <c r="O9" s="46" t="s">
        <v>127</v>
      </c>
      <c r="P9" s="32">
        <f>COUNTIF(注文表!$N$9:$N$36,"7")</f>
        <v>0</v>
      </c>
      <c r="Q9" s="27">
        <v>8</v>
      </c>
    </row>
    <row r="10" spans="1:17" ht="15" thickTop="1" thickBot="1" x14ac:dyDescent="0.2">
      <c r="A10" s="36">
        <f>SUM(注文表!$R$9:$R$36)</f>
        <v>0</v>
      </c>
      <c r="D10" s="33" t="s">
        <v>10</v>
      </c>
      <c r="E10" s="32">
        <f>COUNTIF(注文表!$F$9:$F$36,"31")</f>
        <v>0</v>
      </c>
      <c r="G10" s="27">
        <v>31</v>
      </c>
      <c r="H10" s="33" t="s">
        <v>79</v>
      </c>
      <c r="I10" s="32">
        <f>COUNTIF(注文表!$H$9:$H$36,"9")</f>
        <v>0</v>
      </c>
      <c r="J10" s="27">
        <v>9</v>
      </c>
      <c r="O10" s="68" t="s">
        <v>128</v>
      </c>
      <c r="P10" s="30">
        <f>COUNTIF(注文表!$N$9:$N$36,"8")</f>
        <v>0</v>
      </c>
    </row>
    <row r="11" spans="1:17" ht="14.25" thickBot="1" x14ac:dyDescent="0.2">
      <c r="D11" s="33" t="s">
        <v>90</v>
      </c>
      <c r="E11" s="32">
        <f>COUNTIF(注文表!$F$9:$F$36,"32")</f>
        <v>0</v>
      </c>
      <c r="G11" s="27">
        <v>32</v>
      </c>
      <c r="H11" s="33" t="s">
        <v>89</v>
      </c>
      <c r="I11" s="32">
        <f>COUNTIF(注文表!$H$9:$H$36,"10")</f>
        <v>0</v>
      </c>
      <c r="J11" s="27">
        <v>10</v>
      </c>
    </row>
    <row r="12" spans="1:17" ht="14.25" thickBot="1" x14ac:dyDescent="0.2">
      <c r="D12" s="33" t="s">
        <v>12</v>
      </c>
      <c r="E12" s="32">
        <f>COUNTIF(注文表!$F$9:$F$36,"34")</f>
        <v>0</v>
      </c>
      <c r="G12" s="27">
        <v>34</v>
      </c>
      <c r="H12" s="33" t="s">
        <v>88</v>
      </c>
      <c r="I12" s="32">
        <f>COUNTIF(注文表!$H$9:$H$36,"11")</f>
        <v>0</v>
      </c>
      <c r="J12" s="27">
        <v>11</v>
      </c>
      <c r="O12" s="35" t="s">
        <v>82</v>
      </c>
      <c r="P12" s="34">
        <f>SUM(P2:P10)</f>
        <v>0</v>
      </c>
    </row>
    <row r="13" spans="1:17" ht="14.25" thickBot="1" x14ac:dyDescent="0.2">
      <c r="D13" s="33" t="s">
        <v>13</v>
      </c>
      <c r="E13" s="32">
        <f>COUNTIF(注文表!$F$9:$F$36,"112")</f>
        <v>0</v>
      </c>
      <c r="G13" s="27">
        <v>112</v>
      </c>
      <c r="H13" s="31" t="s">
        <v>87</v>
      </c>
      <c r="I13" s="30">
        <f>COUNTIF(注文表!$H$9:$H$36,"12")</f>
        <v>0</v>
      </c>
      <c r="J13" s="27">
        <v>12</v>
      </c>
    </row>
    <row r="14" spans="1:17" ht="14.25" thickBot="1" x14ac:dyDescent="0.2">
      <c r="D14" s="33" t="s">
        <v>14</v>
      </c>
      <c r="E14" s="32">
        <f>COUNTIF(注文表!$F$9:$F$36,"146")</f>
        <v>0</v>
      </c>
      <c r="G14" s="27">
        <v>146</v>
      </c>
    </row>
    <row r="15" spans="1:17" ht="14.25" thickBot="1" x14ac:dyDescent="0.2">
      <c r="D15" s="33" t="s">
        <v>15</v>
      </c>
      <c r="E15" s="32">
        <f>COUNTIF(注文表!$F$9:$F$36,"155")</f>
        <v>0</v>
      </c>
      <c r="G15" s="27">
        <v>155</v>
      </c>
      <c r="H15" s="35" t="s">
        <v>82</v>
      </c>
      <c r="I15" s="34">
        <f>SUM(I2:I13)</f>
        <v>0</v>
      </c>
    </row>
    <row r="16" spans="1:17" x14ac:dyDescent="0.15">
      <c r="D16" s="33" t="s">
        <v>16</v>
      </c>
      <c r="E16" s="32">
        <f>COUNTIF(注文表!$F$9:$F$36,"165")</f>
        <v>0</v>
      </c>
      <c r="G16" s="27">
        <v>165</v>
      </c>
    </row>
    <row r="17" spans="4:7" x14ac:dyDescent="0.15">
      <c r="D17" s="33" t="s">
        <v>86</v>
      </c>
      <c r="E17" s="32">
        <f>COUNTIF(注文表!$F$9:$F$36,"20")</f>
        <v>0</v>
      </c>
      <c r="G17" s="27">
        <v>20</v>
      </c>
    </row>
    <row r="18" spans="4:7" x14ac:dyDescent="0.15">
      <c r="D18" s="33" t="s">
        <v>65</v>
      </c>
      <c r="E18" s="32">
        <f>COUNTIF(注文表!$F$9:$F$36,"36")</f>
        <v>0</v>
      </c>
      <c r="G18" s="27">
        <v>36</v>
      </c>
    </row>
    <row r="19" spans="4:7" x14ac:dyDescent="0.15">
      <c r="D19" s="33" t="s">
        <v>66</v>
      </c>
      <c r="E19" s="32">
        <f>COUNTIF(注文表!$F$9:$F$36,"97")</f>
        <v>0</v>
      </c>
      <c r="G19" s="27">
        <v>97</v>
      </c>
    </row>
    <row r="20" spans="4:7" x14ac:dyDescent="0.15">
      <c r="D20" s="33" t="s">
        <v>67</v>
      </c>
      <c r="E20" s="32">
        <f>COUNTIF(注文表!$F$9:$F$36,"131")</f>
        <v>0</v>
      </c>
      <c r="G20" s="27">
        <v>131</v>
      </c>
    </row>
    <row r="21" spans="4:7" x14ac:dyDescent="0.15">
      <c r="D21" s="33" t="s">
        <v>68</v>
      </c>
      <c r="E21" s="32">
        <f>COUNTIF(注文表!$F$9:$F$36,"168")</f>
        <v>0</v>
      </c>
      <c r="G21" s="27">
        <v>168</v>
      </c>
    </row>
    <row r="22" spans="4:7" x14ac:dyDescent="0.15">
      <c r="D22" s="33" t="s">
        <v>69</v>
      </c>
      <c r="E22" s="32">
        <f>COUNTIF(注文表!$F$9:$F$36,"172")</f>
        <v>0</v>
      </c>
      <c r="G22" s="27">
        <v>172</v>
      </c>
    </row>
    <row r="23" spans="4:7" x14ac:dyDescent="0.15">
      <c r="D23" s="33" t="s">
        <v>85</v>
      </c>
      <c r="E23" s="32">
        <f>COUNTIF(注文表!$F$9:$F$36,"181")</f>
        <v>0</v>
      </c>
      <c r="G23" s="27">
        <v>181</v>
      </c>
    </row>
    <row r="24" spans="4:7" x14ac:dyDescent="0.15">
      <c r="D24" s="33" t="s">
        <v>84</v>
      </c>
      <c r="E24" s="32">
        <f>COUNTIF(注文表!$F$9:$F$36,"191")</f>
        <v>0</v>
      </c>
      <c r="G24" s="27">
        <v>191</v>
      </c>
    </row>
    <row r="25" spans="4:7" x14ac:dyDescent="0.15">
      <c r="D25" s="33" t="s">
        <v>72</v>
      </c>
      <c r="E25" s="32">
        <f>COUNTIF(注文表!$F$9:$F$36,"194")</f>
        <v>0</v>
      </c>
      <c r="G25" s="27">
        <v>194</v>
      </c>
    </row>
    <row r="26" spans="4:7" x14ac:dyDescent="0.15">
      <c r="D26" s="33" t="s">
        <v>60</v>
      </c>
      <c r="E26" s="32">
        <f>COUNTIF(注文表!$F$9:$F$36,"11")</f>
        <v>0</v>
      </c>
      <c r="G26" s="27">
        <v>11</v>
      </c>
    </row>
    <row r="27" spans="4:7" x14ac:dyDescent="0.15">
      <c r="D27" s="33" t="s">
        <v>61</v>
      </c>
      <c r="E27" s="32">
        <f>COUNTIF(注文表!$F$9:$F$36,"132")</f>
        <v>0</v>
      </c>
      <c r="G27" s="27">
        <v>132</v>
      </c>
    </row>
    <row r="28" spans="4:7" x14ac:dyDescent="0.15">
      <c r="D28" s="33" t="s">
        <v>62</v>
      </c>
      <c r="E28" s="32">
        <f>COUNTIF(注文表!$F$9:$F$36,"133")</f>
        <v>0</v>
      </c>
      <c r="G28" s="27">
        <v>133</v>
      </c>
    </row>
    <row r="29" spans="4:7" ht="14.25" thickBot="1" x14ac:dyDescent="0.2">
      <c r="D29" s="31" t="s">
        <v>83</v>
      </c>
      <c r="E29" s="30">
        <f>COUNTIF(注文表!$F$9:$F$36,"134")</f>
        <v>0</v>
      </c>
      <c r="G29" s="27">
        <v>134</v>
      </c>
    </row>
    <row r="30" spans="4:7" ht="14.25" thickBot="1" x14ac:dyDescent="0.2"/>
    <row r="31" spans="4:7" ht="14.25" thickBot="1" x14ac:dyDescent="0.2">
      <c r="D31" s="29" t="s">
        <v>82</v>
      </c>
      <c r="E31" s="28">
        <f>SUM(E2:E29)</f>
        <v>0</v>
      </c>
    </row>
  </sheetData>
  <sheetProtection algorithmName="SHA-512" hashValue="vKWmB+tMWAbAlqpZ07bmWZO5tVviNoij8zj4NVa27Ibk1+3+/IuDGQvlnXBwNiq8uLogqV/i3hxSgAahWki1Wg==" saltValue="vngRESwzH9/R2ZCPcJbmfw==" spinCount="100000" sheet="1" objects="1" scenarios="1"/>
  <phoneticPr fontId="1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workbookViewId="0">
      <selection activeCell="Q21" sqref="Q21"/>
    </sheetView>
  </sheetViews>
  <sheetFormatPr defaultRowHeight="13.5" x14ac:dyDescent="0.15"/>
  <cols>
    <col min="1" max="1" width="9" customWidth="1"/>
    <col min="2" max="2" width="26.25" customWidth="1"/>
  </cols>
  <sheetData>
    <row r="1" spans="1:3" x14ac:dyDescent="0.15">
      <c r="A1" t="s">
        <v>32</v>
      </c>
      <c r="B1" t="s">
        <v>43</v>
      </c>
      <c r="C1" t="s">
        <v>44</v>
      </c>
    </row>
    <row r="2" spans="1:3" x14ac:dyDescent="0.15">
      <c r="A2">
        <v>1</v>
      </c>
      <c r="B2" t="s">
        <v>40</v>
      </c>
      <c r="C2">
        <v>223</v>
      </c>
    </row>
    <row r="3" spans="1:3" x14ac:dyDescent="0.15">
      <c r="A3">
        <v>2</v>
      </c>
      <c r="B3" t="s">
        <v>41</v>
      </c>
      <c r="C3">
        <v>302</v>
      </c>
    </row>
    <row r="4" spans="1:3" x14ac:dyDescent="0.15">
      <c r="A4">
        <v>3</v>
      </c>
      <c r="B4" t="s">
        <v>42</v>
      </c>
      <c r="C4">
        <v>330</v>
      </c>
    </row>
  </sheetData>
  <sheetProtection password="CC0B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29"/>
  <sheetViews>
    <sheetView topLeftCell="A13" workbookViewId="0">
      <selection activeCell="Q21" sqref="Q21"/>
    </sheetView>
  </sheetViews>
  <sheetFormatPr defaultRowHeight="13.5" x14ac:dyDescent="0.15"/>
  <cols>
    <col min="1" max="1" width="19" customWidth="1"/>
  </cols>
  <sheetData>
    <row r="1" spans="1:2" x14ac:dyDescent="0.15">
      <c r="A1" t="s">
        <v>17</v>
      </c>
      <c r="B1" t="s">
        <v>1</v>
      </c>
    </row>
    <row r="2" spans="1:2" x14ac:dyDescent="0.15">
      <c r="A2" s="12" t="s">
        <v>2</v>
      </c>
      <c r="B2">
        <v>1</v>
      </c>
    </row>
    <row r="3" spans="1:2" x14ac:dyDescent="0.15">
      <c r="A3" s="12" t="s">
        <v>3</v>
      </c>
      <c r="B3">
        <v>2</v>
      </c>
    </row>
    <row r="4" spans="1:2" x14ac:dyDescent="0.15">
      <c r="A4" s="12" t="s">
        <v>4</v>
      </c>
      <c r="B4">
        <v>5</v>
      </c>
    </row>
    <row r="5" spans="1:2" x14ac:dyDescent="0.15">
      <c r="A5" s="12" t="s">
        <v>5</v>
      </c>
      <c r="B5">
        <v>10</v>
      </c>
    </row>
    <row r="6" spans="1:2" x14ac:dyDescent="0.15">
      <c r="A6" s="12" t="s">
        <v>6</v>
      </c>
      <c r="B6">
        <v>14</v>
      </c>
    </row>
    <row r="7" spans="1:2" x14ac:dyDescent="0.15">
      <c r="A7" s="12" t="s">
        <v>7</v>
      </c>
      <c r="B7">
        <v>15</v>
      </c>
    </row>
    <row r="8" spans="1:2" x14ac:dyDescent="0.15">
      <c r="A8" s="12" t="s">
        <v>8</v>
      </c>
      <c r="B8">
        <v>25</v>
      </c>
    </row>
    <row r="9" spans="1:2" x14ac:dyDescent="0.15">
      <c r="A9" s="12" t="s">
        <v>9</v>
      </c>
      <c r="B9">
        <v>26</v>
      </c>
    </row>
    <row r="10" spans="1:2" x14ac:dyDescent="0.15">
      <c r="A10" s="12" t="s">
        <v>10</v>
      </c>
      <c r="B10">
        <v>31</v>
      </c>
    </row>
    <row r="11" spans="1:2" x14ac:dyDescent="0.15">
      <c r="A11" s="12" t="s">
        <v>11</v>
      </c>
      <c r="B11">
        <v>32</v>
      </c>
    </row>
    <row r="12" spans="1:2" x14ac:dyDescent="0.15">
      <c r="A12" s="12" t="s">
        <v>12</v>
      </c>
      <c r="B12">
        <v>34</v>
      </c>
    </row>
    <row r="13" spans="1:2" x14ac:dyDescent="0.15">
      <c r="A13" s="12" t="s">
        <v>13</v>
      </c>
      <c r="B13">
        <v>112</v>
      </c>
    </row>
    <row r="14" spans="1:2" x14ac:dyDescent="0.15">
      <c r="A14" s="12" t="s">
        <v>14</v>
      </c>
      <c r="B14">
        <v>146</v>
      </c>
    </row>
    <row r="15" spans="1:2" x14ac:dyDescent="0.15">
      <c r="A15" s="12" t="s">
        <v>15</v>
      </c>
      <c r="B15">
        <v>155</v>
      </c>
    </row>
    <row r="16" spans="1:2" x14ac:dyDescent="0.15">
      <c r="A16" s="12" t="s">
        <v>16</v>
      </c>
      <c r="B16">
        <v>165</v>
      </c>
    </row>
    <row r="17" spans="1:2" x14ac:dyDescent="0.15">
      <c r="A17" s="12" t="s">
        <v>64</v>
      </c>
      <c r="B17">
        <v>20</v>
      </c>
    </row>
    <row r="18" spans="1:2" x14ac:dyDescent="0.15">
      <c r="A18" s="12" t="s">
        <v>65</v>
      </c>
      <c r="B18">
        <v>36</v>
      </c>
    </row>
    <row r="19" spans="1:2" x14ac:dyDescent="0.15">
      <c r="A19" s="12" t="s">
        <v>66</v>
      </c>
      <c r="B19">
        <v>97</v>
      </c>
    </row>
    <row r="20" spans="1:2" x14ac:dyDescent="0.15">
      <c r="A20" s="12" t="s">
        <v>67</v>
      </c>
      <c r="B20">
        <v>131</v>
      </c>
    </row>
    <row r="21" spans="1:2" x14ac:dyDescent="0.15">
      <c r="A21" s="12" t="s">
        <v>68</v>
      </c>
      <c r="B21">
        <v>168</v>
      </c>
    </row>
    <row r="22" spans="1:2" x14ac:dyDescent="0.15">
      <c r="A22" s="12" t="s">
        <v>69</v>
      </c>
      <c r="B22">
        <v>172</v>
      </c>
    </row>
    <row r="23" spans="1:2" x14ac:dyDescent="0.15">
      <c r="A23" s="12" t="s">
        <v>70</v>
      </c>
      <c r="B23">
        <v>181</v>
      </c>
    </row>
    <row r="24" spans="1:2" x14ac:dyDescent="0.15">
      <c r="A24" s="12" t="s">
        <v>71</v>
      </c>
      <c r="B24">
        <v>191</v>
      </c>
    </row>
    <row r="25" spans="1:2" x14ac:dyDescent="0.15">
      <c r="A25" s="12" t="s">
        <v>72</v>
      </c>
      <c r="B25">
        <v>194</v>
      </c>
    </row>
    <row r="26" spans="1:2" x14ac:dyDescent="0.15">
      <c r="A26" s="12" t="s">
        <v>60</v>
      </c>
      <c r="B26">
        <v>11</v>
      </c>
    </row>
    <row r="27" spans="1:2" x14ac:dyDescent="0.15">
      <c r="A27" s="12" t="s">
        <v>61</v>
      </c>
      <c r="B27">
        <v>132</v>
      </c>
    </row>
    <row r="28" spans="1:2" x14ac:dyDescent="0.15">
      <c r="A28" s="12" t="s">
        <v>62</v>
      </c>
      <c r="B28">
        <v>133</v>
      </c>
    </row>
    <row r="29" spans="1:2" x14ac:dyDescent="0.15">
      <c r="A29" s="12" t="s">
        <v>63</v>
      </c>
      <c r="B29">
        <v>134</v>
      </c>
    </row>
  </sheetData>
  <sheetProtection password="CC0B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10"/>
  <sheetViews>
    <sheetView workbookViewId="0">
      <selection activeCell="B10" sqref="B10"/>
    </sheetView>
  </sheetViews>
  <sheetFormatPr defaultRowHeight="13.5" x14ac:dyDescent="0.15"/>
  <cols>
    <col min="1" max="1" width="16.875" customWidth="1"/>
    <col min="2" max="2" width="10.5" customWidth="1"/>
  </cols>
  <sheetData>
    <row r="1" spans="1:3" x14ac:dyDescent="0.15">
      <c r="A1" t="s">
        <v>18</v>
      </c>
      <c r="B1" t="s">
        <v>19</v>
      </c>
      <c r="C1" t="s">
        <v>20</v>
      </c>
    </row>
    <row r="2" spans="1:3" x14ac:dyDescent="0.15">
      <c r="A2" t="s">
        <v>131</v>
      </c>
      <c r="B2">
        <v>0</v>
      </c>
      <c r="C2">
        <v>0</v>
      </c>
    </row>
    <row r="3" spans="1:3" x14ac:dyDescent="0.15">
      <c r="A3" t="s">
        <v>132</v>
      </c>
      <c r="B3">
        <v>1</v>
      </c>
      <c r="C3">
        <v>0</v>
      </c>
    </row>
    <row r="4" spans="1:3" x14ac:dyDescent="0.15">
      <c r="A4" t="s">
        <v>133</v>
      </c>
      <c r="B4">
        <v>2</v>
      </c>
      <c r="C4">
        <v>0</v>
      </c>
    </row>
    <row r="5" spans="1:3" x14ac:dyDescent="0.15">
      <c r="A5" t="s">
        <v>134</v>
      </c>
      <c r="B5">
        <v>3</v>
      </c>
      <c r="C5">
        <v>0</v>
      </c>
    </row>
    <row r="6" spans="1:3" x14ac:dyDescent="0.15">
      <c r="A6" t="s">
        <v>135</v>
      </c>
      <c r="B6">
        <v>4</v>
      </c>
      <c r="C6">
        <v>0</v>
      </c>
    </row>
    <row r="7" spans="1:3" x14ac:dyDescent="0.15">
      <c r="A7" t="s">
        <v>136</v>
      </c>
      <c r="B7">
        <v>5</v>
      </c>
      <c r="C7">
        <v>0</v>
      </c>
    </row>
    <row r="8" spans="1:3" x14ac:dyDescent="0.15">
      <c r="A8" t="s">
        <v>137</v>
      </c>
      <c r="B8">
        <v>6</v>
      </c>
      <c r="C8">
        <v>0</v>
      </c>
    </row>
    <row r="9" spans="1:3" x14ac:dyDescent="0.15">
      <c r="A9" t="s">
        <v>138</v>
      </c>
      <c r="B9">
        <v>7</v>
      </c>
      <c r="C9">
        <v>100</v>
      </c>
    </row>
    <row r="10" spans="1:3" x14ac:dyDescent="0.15">
      <c r="A10" t="s">
        <v>139</v>
      </c>
      <c r="B10">
        <v>8</v>
      </c>
      <c r="C10">
        <v>100</v>
      </c>
    </row>
  </sheetData>
  <sheetProtection algorithmName="SHA-512" hashValue="PQzZqmhU+9g+drznWshGxX1iPX45IO24Y3S0ykwoUxsOm+vs062uUD/0+KX76uQrVSdg7YnX9hKRqJQTpJSCWA==" saltValue="hzNFok4j0yTvQ+wDxOBY5w==" spinCount="100000"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13"/>
  <sheetViews>
    <sheetView workbookViewId="0">
      <selection activeCell="E17" sqref="E17"/>
    </sheetView>
  </sheetViews>
  <sheetFormatPr defaultRowHeight="13.5" x14ac:dyDescent="0.15"/>
  <cols>
    <col min="1" max="1" width="10.875" customWidth="1"/>
    <col min="3" max="3" width="12.125" customWidth="1"/>
  </cols>
  <sheetData>
    <row r="1" spans="1:3" x14ac:dyDescent="0.15">
      <c r="A1" t="s">
        <v>22</v>
      </c>
      <c r="B1" t="s">
        <v>23</v>
      </c>
      <c r="C1" t="s">
        <v>54</v>
      </c>
    </row>
    <row r="2" spans="1:3" x14ac:dyDescent="0.15">
      <c r="A2" t="s">
        <v>109</v>
      </c>
      <c r="B2">
        <v>1</v>
      </c>
      <c r="C2">
        <v>0</v>
      </c>
    </row>
    <row r="3" spans="1:3" x14ac:dyDescent="0.15">
      <c r="A3" t="s">
        <v>57</v>
      </c>
      <c r="B3">
        <v>2</v>
      </c>
      <c r="C3">
        <v>0</v>
      </c>
    </row>
    <row r="4" spans="1:3" x14ac:dyDescent="0.15">
      <c r="A4" t="s">
        <v>58</v>
      </c>
      <c r="B4">
        <v>3</v>
      </c>
      <c r="C4">
        <v>0</v>
      </c>
    </row>
    <row r="5" spans="1:3" x14ac:dyDescent="0.15">
      <c r="A5" t="s">
        <v>59</v>
      </c>
      <c r="B5">
        <v>4</v>
      </c>
      <c r="C5">
        <v>0</v>
      </c>
    </row>
    <row r="6" spans="1:3" x14ac:dyDescent="0.15">
      <c r="A6" t="s">
        <v>24</v>
      </c>
      <c r="B6">
        <v>5</v>
      </c>
      <c r="C6">
        <v>0</v>
      </c>
    </row>
    <row r="7" spans="1:3" x14ac:dyDescent="0.15">
      <c r="A7" t="s">
        <v>25</v>
      </c>
      <c r="B7">
        <v>6</v>
      </c>
      <c r="C7">
        <v>0</v>
      </c>
    </row>
    <row r="8" spans="1:3" x14ac:dyDescent="0.15">
      <c r="A8" t="s">
        <v>26</v>
      </c>
      <c r="B8">
        <v>7</v>
      </c>
      <c r="C8">
        <v>0</v>
      </c>
    </row>
    <row r="9" spans="1:3" x14ac:dyDescent="0.15">
      <c r="A9" t="s">
        <v>27</v>
      </c>
      <c r="B9">
        <v>8</v>
      </c>
      <c r="C9">
        <v>0</v>
      </c>
    </row>
    <row r="10" spans="1:3" x14ac:dyDescent="0.15">
      <c r="A10" t="s">
        <v>28</v>
      </c>
      <c r="B10">
        <v>9</v>
      </c>
      <c r="C10">
        <v>0</v>
      </c>
    </row>
    <row r="11" spans="1:3" x14ac:dyDescent="0.15">
      <c r="A11" t="s">
        <v>29</v>
      </c>
      <c r="B11">
        <v>10</v>
      </c>
      <c r="C11">
        <v>300</v>
      </c>
    </row>
    <row r="12" spans="1:3" x14ac:dyDescent="0.15">
      <c r="A12" t="s">
        <v>30</v>
      </c>
      <c r="B12">
        <v>11</v>
      </c>
      <c r="C12">
        <v>300</v>
      </c>
    </row>
    <row r="13" spans="1:3" x14ac:dyDescent="0.15">
      <c r="A13" t="s">
        <v>31</v>
      </c>
      <c r="B13">
        <v>12</v>
      </c>
      <c r="C13">
        <v>300</v>
      </c>
    </row>
  </sheetData>
  <sheetProtection algorithmName="SHA-512" hashValue="fhNP+PbDzQieL5gKi10WVhCZSKxHTx16MhwDYpbsJuPFv32OTBjalwA1kFTtM0+auTnT5caPr9wLTJBViWKe2A==" saltValue="yhc9Oyad2G91GUniDwq+Zg==" spinCount="100000" sheet="1" objects="1" scenarios="1"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4"/>
  <sheetViews>
    <sheetView workbookViewId="0">
      <selection activeCell="B5" sqref="B5"/>
    </sheetView>
  </sheetViews>
  <sheetFormatPr defaultRowHeight="13.5" x14ac:dyDescent="0.15"/>
  <cols>
    <col min="1" max="1" width="8.125" customWidth="1"/>
    <col min="2" max="2" width="22.5" customWidth="1"/>
    <col min="3" max="3" width="8.25" customWidth="1"/>
  </cols>
  <sheetData>
    <row r="1" spans="1:3" x14ac:dyDescent="0.15">
      <c r="A1" t="s">
        <v>47</v>
      </c>
      <c r="B1" t="s">
        <v>46</v>
      </c>
      <c r="C1" t="s">
        <v>53</v>
      </c>
    </row>
    <row r="2" spans="1:3" x14ac:dyDescent="0.15">
      <c r="A2" t="s">
        <v>106</v>
      </c>
      <c r="B2" t="s">
        <v>111</v>
      </c>
      <c r="C2">
        <v>1500</v>
      </c>
    </row>
    <row r="3" spans="1:3" x14ac:dyDescent="0.15">
      <c r="A3" t="s">
        <v>107</v>
      </c>
      <c r="B3" t="s">
        <v>112</v>
      </c>
      <c r="C3">
        <v>2000</v>
      </c>
    </row>
    <row r="4" spans="1:3" x14ac:dyDescent="0.15">
      <c r="A4" t="s">
        <v>108</v>
      </c>
      <c r="B4" t="s">
        <v>113</v>
      </c>
      <c r="C4">
        <v>2500</v>
      </c>
    </row>
  </sheetData>
  <sheetProtection algorithmName="SHA-512" hashValue="64lNt8HW5zOD7iV9Zj/zc9wEUuBaTc4BMI2e+1zybKX7No37NX0wIFaGj+DF1D6yKQkYVItFdj3FTCrt95KhIQ==" saltValue="KZInJD0QtR8bFiOkOFvSt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注文表</vt:lpstr>
      <vt:lpstr>集計</vt:lpstr>
      <vt:lpstr>ウェアタイプ</vt:lpstr>
      <vt:lpstr>ポロカラー</vt:lpstr>
      <vt:lpstr>プリント色</vt:lpstr>
      <vt:lpstr>サイズ</vt:lpstr>
      <vt:lpstr>デザイン</vt:lpstr>
      <vt:lpstr>ウェア番号</vt:lpstr>
      <vt:lpstr>サイズ</vt:lpstr>
      <vt:lpstr>デザイン</vt:lpstr>
      <vt:lpstr>プリント色</vt:lpstr>
      <vt:lpstr>ポロカラー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houyo</dc:creator>
  <cp:lastModifiedBy>井上靖浩</cp:lastModifiedBy>
  <cp:lastPrinted>2017-05-17T10:27:35Z</cp:lastPrinted>
  <dcterms:created xsi:type="dcterms:W3CDTF">2014-05-07T00:47:23Z</dcterms:created>
  <dcterms:modified xsi:type="dcterms:W3CDTF">2017-05-17T10:36:43Z</dcterms:modified>
</cp:coreProperties>
</file>